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4.vml" ContentType="application/vnd.openxmlformats-officedocument.vmlDrawing"/>
  <Override PartName="/xl/drawings/vmlDrawing2.vml" ContentType="application/vnd.openxmlformats-officedocument.vmlDrawing"/>
  <Override PartName="/xl/drawings/_rels/drawing4.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xl/charts/chart1.xml" ContentType="application/vnd.openxmlformats-officedocument.drawingml.chart+xml"/>
  <Override PartName="/xl/comments8.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Today" sheetId="2" state="visible" r:id="rId4"/>
    <sheet name="Leads" sheetId="3" state="visible" r:id="rId5"/>
    <sheet name="Tenders" sheetId="4" state="visible" r:id="rId6"/>
    <sheet name="Quotes" sheetId="5" state="visible" r:id="rId7"/>
    <sheet name="Results" sheetId="6" state="visible" r:id="rId8"/>
    <sheet name="Do not contact" sheetId="7" state="visible" r:id="rId9"/>
    <sheet name="Example" sheetId="8" state="visible" r:id="rId10"/>
    <sheet name="Lists" sheetId="9" state="visible" r:id="rId11"/>
  </sheets>
  <definedNames>
    <definedName function="false" hidden="false" localSheetId="6" name="_xlnm.Print_Titles" vbProcedure="false">'Do not contact'!$4:$4</definedName>
    <definedName function="false" hidden="false" localSheetId="7" name="_xlnm.Print_Area" vbProcedure="false">Example!$A$1:$U$10</definedName>
    <definedName function="false" hidden="false" localSheetId="7" name="_xlnm.Print_Titles" vbProcedure="false">Example!$3:$4</definedName>
    <definedName function="false" hidden="true" localSheetId="7" name="_xlnm._FilterDatabase" vbProcedure="false">Example!$A$4:$U$10</definedName>
    <definedName function="false" hidden="false" localSheetId="2" name="_xlnm.Print_Area" vbProcedure="false">Leads!$A$1:$U$305</definedName>
    <definedName function="false" hidden="false" localSheetId="2" name="_xlnm.Print_Titles" vbProcedure="false">Leads!$3:$4</definedName>
    <definedName function="false" hidden="true" localSheetId="2" name="_xlnm._FilterDatabase" vbProcedure="false">Leads!$A$4:$U$305</definedName>
    <definedName function="false" hidden="false" localSheetId="4" name="_xlnm.Print_Area" vbProcedure="false">Quotes!$A$1:$M$305</definedName>
    <definedName function="false" hidden="false" localSheetId="4" name="_xlnm.Print_Titles" vbProcedure="false">Quotes!$3:$4</definedName>
    <definedName function="false" hidden="true" localSheetId="4" name="_xlnm._FilterDatabase" vbProcedure="false">Quotes!$A$4:$M$305</definedName>
    <definedName function="false" hidden="false" localSheetId="5" name="_xlnm.Print_Area" vbProcedure="false">Results!$A$1:$N$113</definedName>
    <definedName function="false" hidden="false" localSheetId="3" name="_xlnm.Print_Area" vbProcedure="false">Tenders!$A$1:$Q$105</definedName>
    <definedName function="false" hidden="false" localSheetId="3" name="_xlnm.Print_Titles" vbProcedure="false">Tenders!$3:$4</definedName>
    <definedName function="false" hidden="true" localSheetId="3" name="_xlnm._FilterDatabase" vbProcedure="false">Tenders!$A$4:$Q$105</definedName>
    <definedName function="false" hidden="false" localSheetId="1" name="_xlnm.Print_Area" vbProcedure="false">Today!$A$1:$H$63</definedName>
  </definedNames>
  <calcPr fullCalcOnLoad="1"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Your own reference, e.g. L-001.</t>
        </r>
      </text>
    </comment>
    <comment ref="B4" authorId="0">
      <text>
        <r>
          <rPr>
            <sz val="10"/>
            <rFont val="Arial"/>
            <family val="2"/>
          </rPr>
          <t xml:space="preserve">DD/MM/YYYY</t>
        </r>
      </text>
    </comment>
    <comment ref="C4" authorId="0">
      <text>
        <r>
          <rPr>
            <sz val="10"/>
            <rFont val="Arial"/>
            <family val="2"/>
          </rPr>
          <t xml:space="preserve">Company, council or school name.</t>
        </r>
      </text>
    </comment>
    <comment ref="D4" authorId="0">
      <text>
        <r>
          <rPr>
            <sz val="10"/>
            <rFont val="Arial"/>
            <family val="2"/>
          </rPr>
          <t xml:space="preserve">Pick from the list.</t>
        </r>
      </text>
    </comment>
    <comment ref="E4" authorId="0">
      <text>
        <r>
          <rPr>
            <sz val="10"/>
            <rFont val="Arial"/>
            <family val="2"/>
          </rPr>
          <t xml:space="preserve">The person you deal with.</t>
        </r>
      </text>
    </comment>
    <comment ref="F4" authorId="0">
      <text>
        <r>
          <rPr>
            <sz val="10"/>
            <rFont val="Arial"/>
            <family val="2"/>
          </rPr>
          <t xml:space="preserve">e.g. Facilities Manager, Clerk, Estates Lead.</t>
        </r>
      </text>
    </comment>
    <comment ref="G4" authorId="0">
      <text>
        <r>
          <rPr>
            <sz val="10"/>
            <rFont val="Arial"/>
            <family val="2"/>
          </rPr>
          <t xml:space="preserve">Work email. Checked against the Do not contact tab.</t>
        </r>
      </text>
    </comment>
    <comment ref="H4" authorId="0">
      <text>
        <r>
          <rPr>
            <sz val="10"/>
            <rFont val="Arial"/>
            <family val="2"/>
          </rPr>
          <t xml:space="preserve">Typed as text, so the 0 stays.</t>
        </r>
      </text>
    </comment>
    <comment ref="I4" authorId="0">
      <text>
        <r>
          <rPr>
            <sz val="10"/>
            <rFont val="Arial"/>
            <family val="2"/>
          </rPr>
          <t xml:space="preserve">Sole traders and ordinary partnerships need consent (or a soft opt-in) before marketing emails.</t>
        </r>
      </text>
    </comment>
    <comment ref="J4" authorId="0">
      <text>
        <r>
          <rPr>
            <sz val="10"/>
            <rFont val="Arial"/>
            <family val="2"/>
          </rPr>
          <t xml:space="preserve">Usually "Legitimate interests (B2B)" for companies and public bodies.</t>
        </r>
      </text>
    </comment>
    <comment ref="K4" authorId="0">
      <text>
        <r>
          <rPr>
            <sz val="10"/>
            <rFont val="Arial"/>
            <family val="2"/>
          </rPr>
          <t xml:space="preserve">Where you got their details. You must be able to tell them if asked.</t>
        </r>
      </text>
    </comment>
    <comment ref="L4" authorId="0">
      <text>
        <r>
          <rPr>
            <sz val="10"/>
            <rFont val="Arial"/>
            <family val="2"/>
          </rPr>
          <t xml:space="preserve">Y = they asked not to be contacted. Row turns grey. Add them to Do not contact too.</t>
        </r>
      </text>
    </comment>
    <comment ref="M4" authorId="0">
      <text>
        <r>
          <rPr>
            <sz val="10"/>
            <rFont val="Arial"/>
            <family val="2"/>
          </rPr>
          <t xml:space="preserve">Checks opt-out, contact type and lawful basis.</t>
        </r>
      </text>
    </comment>
    <comment ref="N4" authorId="0">
      <text>
        <r>
          <rPr>
            <sz val="10"/>
            <rFont val="Arial"/>
            <family val="2"/>
          </rPr>
          <t xml:space="preserve">Pick from the list. Move it on after each contact.</t>
        </r>
      </text>
    </comment>
    <comment ref="O4" authorId="0">
      <text>
        <r>
          <rPr>
            <sz val="10"/>
            <rFont val="Arial"/>
            <family val="2"/>
          </rPr>
          <t xml:space="preserve">DD/MM/YYYY – update every time you speak or email.</t>
        </r>
      </text>
    </comment>
    <comment ref="P4" authorId="0">
      <text>
        <r>
          <rPr>
            <sz val="10"/>
            <rFont val="Arial"/>
            <family val="2"/>
          </rPr>
          <t xml:space="preserve">One small, clear step, e.g. "Call Sam re: winter works".</t>
        </r>
      </text>
    </comment>
    <comment ref="Q4" authorId="0">
      <text>
        <r>
          <rPr>
            <sz val="10"/>
            <rFont val="Arial"/>
            <family val="2"/>
          </rPr>
          <t xml:space="preserve">Leave blank and it is set 7 days after the last contact.</t>
        </r>
      </text>
    </comment>
    <comment ref="R4" authorId="0">
      <text>
        <r>
          <rPr>
            <sz val="10"/>
            <rFont val="Arial"/>
            <family val="2"/>
          </rPr>
          <t xml:space="preserve">Your date, or last contact + 7 days.</t>
        </r>
      </text>
    </comment>
    <comment ref="S4" authorId="0">
      <text>
        <r>
          <rPr>
            <sz val="10"/>
            <rFont val="Arial"/>
            <family val="2"/>
          </rPr>
          <t xml:space="preserve">Red = do it now. Amber = coming up or missing a next step. Green = on track.</t>
        </r>
      </text>
    </comment>
    <comment ref="T4" authorId="0">
      <text>
        <r>
          <rPr>
            <sz val="10"/>
            <rFont val="Arial"/>
            <family val="2"/>
          </rPr>
          <t xml:space="preserve">Your best guess of yearly work. Rough is fine.</t>
        </r>
      </text>
    </comment>
    <comment ref="U4" authorId="0">
      <text>
        <r>
          <rPr>
            <sz val="10"/>
            <rFont val="Arial"/>
            <family val="2"/>
          </rPr>
          <t xml:space="preserve">Anything useful: site names, contract dates, who else to speak to.</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Your reference, e.g. T-001.</t>
        </r>
      </text>
    </comment>
    <comment ref="B4" authorId="0">
      <text>
        <r>
          <rPr>
            <sz val="10"/>
            <rFont val="Arial"/>
            <family val="2"/>
          </rPr>
          <t xml:space="preserve">As on the notice, e.g. Tree works framework 2027–2030.</t>
        </r>
      </text>
    </comment>
    <comment ref="C4" authorId="0">
      <text>
        <r>
          <rPr>
            <sz val="10"/>
            <rFont val="Arial"/>
            <family val="2"/>
          </rPr>
          <t xml:space="preserve">Council, housing association, school trust …</t>
        </r>
      </text>
    </comment>
    <comment ref="D4" authorId="0">
      <text>
        <r>
          <rPr>
            <sz val="10"/>
            <rFont val="Arial"/>
            <family val="2"/>
          </rPr>
          <t xml:space="preserve">Where it is advertised. Add your regular portals to the Lists tab.</t>
        </r>
      </text>
    </comment>
    <comment ref="E4" authorId="0">
      <text>
        <r>
          <rPr>
            <sz val="10"/>
            <rFont val="Arial"/>
            <family val="2"/>
          </rPr>
          <t xml:space="preserve">Estimated total contract value from the notice.</t>
        </r>
      </text>
    </comment>
    <comment ref="F4" authorId="0">
      <text>
        <r>
          <rPr>
            <sz val="10"/>
            <rFont val="Arial"/>
            <family val="2"/>
          </rPr>
          <t xml:space="preserve">e.g. 3 years + 1.</t>
        </r>
      </text>
    </comment>
    <comment ref="G4" authorId="0">
      <text>
        <r>
          <rPr>
            <sz val="10"/>
            <rFont val="Arial"/>
            <family val="2"/>
          </rPr>
          <t xml:space="preserve">Submission deadline, DD/MM/YYYY. Note the time in Notes.</t>
        </r>
      </text>
    </comment>
    <comment ref="H4" authorId="0">
      <text>
        <r>
          <rPr>
            <sz val="10"/>
            <rFont val="Arial"/>
            <family val="2"/>
          </rPr>
          <t xml:space="preserve">Red at 7 days or fewer. Blank once submitted.</t>
        </r>
      </text>
    </comment>
    <comment ref="I4" authorId="0">
      <text>
        <r>
          <rPr>
            <sz val="10"/>
            <rFont val="Arial"/>
            <family val="2"/>
          </rPr>
          <t xml:space="preserve">From the ARB-BD-05 scorecard.</t>
        </r>
      </text>
    </comment>
    <comment ref="J4" authorId="0">
      <text>
        <r>
          <rPr>
            <sz val="10"/>
            <rFont val="Arial"/>
            <family val="2"/>
          </rPr>
          <t xml:space="preserve">Bid, No bid or Not decided yet.</t>
        </r>
      </text>
    </comment>
    <comment ref="K4" authorId="0">
      <text>
        <r>
          <rPr>
            <sz val="10"/>
            <rFont val="Arial"/>
            <family val="2"/>
          </rPr>
          <t xml:space="preserve">One named person who owns the bid.</t>
        </r>
      </text>
    </comment>
    <comment ref="L4" authorId="0">
      <text>
        <r>
          <rPr>
            <sz val="10"/>
            <rFont val="Arial"/>
            <family val="2"/>
          </rPr>
          <t xml:space="preserve">Pick from the list.</t>
        </r>
      </text>
    </comment>
    <comment ref="M4" authorId="0">
      <text>
        <r>
          <rPr>
            <sz val="10"/>
            <rFont val="Arial"/>
            <family val="2"/>
          </rPr>
          <t xml:space="preserve">DD/MM/YYYY</t>
        </r>
      </text>
    </comment>
    <comment ref="N4" authorId="0">
      <text>
        <r>
          <rPr>
            <sz val="10"/>
            <rFont val="Arial"/>
            <family val="2"/>
          </rPr>
          <t xml:space="preserve">DD/MM/YYYY – needed for the Results tab.</t>
        </r>
      </text>
    </comment>
    <comment ref="O4" authorId="0">
      <text>
        <r>
          <rPr>
            <sz val="10"/>
            <rFont val="Arial"/>
            <family val="2"/>
          </rPr>
          <t xml:space="preserve">Your score vs the winner, and the buyer’s comments.</t>
        </r>
      </text>
    </comment>
    <comment ref="P4" authorId="0">
      <text>
        <r>
          <rPr>
            <sz val="10"/>
            <rFont val="Arial"/>
            <family val="2"/>
          </rPr>
          <t xml:space="preserve">1–3 things to do differently next time.</t>
        </r>
      </text>
    </comment>
    <comment ref="Q4" authorId="0">
      <text>
        <r>
          <rPr>
            <sz val="10"/>
            <rFont val="Arial"/>
            <family val="2"/>
          </rPr>
          <t xml:space="preserve">What to do next on this tender.</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Your quote number.</t>
        </r>
      </text>
    </comment>
    <comment ref="B4" authorId="0">
      <text>
        <r>
          <rPr>
            <sz val="10"/>
            <rFont val="Arial"/>
            <family val="2"/>
          </rPr>
          <t xml:space="preserve">Who the quote went to.</t>
        </r>
      </text>
    </comment>
    <comment ref="C4" authorId="0">
      <text>
        <r>
          <rPr>
            <sz val="10"/>
            <rFont val="Arial"/>
            <family val="2"/>
          </rPr>
          <t xml:space="preserve">Optional: the Ref from the Leads tab.</t>
        </r>
      </text>
    </comment>
    <comment ref="D4" authorId="0">
      <text>
        <r>
          <rPr>
            <sz val="10"/>
            <rFont val="Arial"/>
            <family val="2"/>
          </rPr>
          <t xml:space="preserve">DD/MM/YYYY</t>
        </r>
      </text>
    </comment>
    <comment ref="E4" authorId="0">
      <text>
        <r>
          <rPr>
            <sz val="10"/>
            <rFont val="Arial"/>
            <family val="2"/>
          </rPr>
          <t xml:space="preserve">Quote total.</t>
        </r>
      </text>
    </comment>
    <comment ref="F4" authorId="0">
      <text>
        <r>
          <rPr>
            <sz val="10"/>
            <rFont val="Arial"/>
            <family val="2"/>
          </rPr>
          <t xml:space="preserve">Amber after 7 days, red after 14. Stops when closed.</t>
        </r>
      </text>
    </comment>
    <comment ref="G4" authorId="0">
      <text>
        <r>
          <rPr>
            <sz val="10"/>
            <rFont val="Arial"/>
            <family val="2"/>
          </rPr>
          <t xml:space="preserve">Date of first chase.</t>
        </r>
      </text>
    </comment>
    <comment ref="H4" authorId="0">
      <text>
        <r>
          <rPr>
            <sz val="10"/>
            <rFont val="Arial"/>
            <family val="2"/>
          </rPr>
          <t xml:space="preserve">Date of second chase.</t>
        </r>
      </text>
    </comment>
    <comment ref="I4" authorId="0">
      <text>
        <r>
          <rPr>
            <sz val="10"/>
            <rFont val="Arial"/>
            <family val="2"/>
          </rPr>
          <t xml:space="preserve">Blank or Sent = still waiting.</t>
        </r>
      </text>
    </comment>
    <comment ref="J4" authorId="0">
      <text>
        <r>
          <rPr>
            <sz val="10"/>
            <rFont val="Arial"/>
            <family val="2"/>
          </rPr>
          <t xml:space="preserve">When they said yes or no. Needed for Results.</t>
        </r>
      </text>
    </comment>
    <comment ref="K4" authorId="0">
      <text>
        <r>
          <rPr>
            <sz val="10"/>
            <rFont val="Arial"/>
            <family val="2"/>
          </rPr>
          <t xml:space="preserve">If blank on a won quote, the quote value is used.</t>
        </r>
      </text>
    </comment>
    <comment ref="L4" authorId="0">
      <text>
        <r>
          <rPr>
            <sz val="10"/>
            <rFont val="Arial"/>
            <family val="2"/>
          </rPr>
          <t xml:space="preserve">What to do next on this quote.</t>
        </r>
      </text>
    </comment>
    <comment ref="M4" authorId="0">
      <text>
        <r>
          <rPr>
            <sz val="10"/>
            <rFont val="Arial"/>
            <family val="2"/>
          </rPr>
          <t xml:space="preserve">Why won or lost, price feedback, start date.</t>
        </r>
      </text>
    </comment>
  </commentList>
</comments>
</file>

<file path=xl/comments8.xml><?xml version="1.0" encoding="utf-8"?>
<comments xmlns="http://schemas.openxmlformats.org/spreadsheetml/2006/main" xmlns:xdr="http://schemas.openxmlformats.org/drawingml/2006/spreadsheetDrawing">
  <authors>
    <author>Unknown Author</author>
  </authors>
  <commentList>
    <comment ref="A4" authorId="0">
      <text>
        <r>
          <rPr>
            <sz val="10"/>
            <rFont val="Arial"/>
            <family val="2"/>
          </rPr>
          <t xml:space="preserve">Your own reference, e.g. L-001.</t>
        </r>
      </text>
    </comment>
    <comment ref="B4" authorId="0">
      <text>
        <r>
          <rPr>
            <sz val="10"/>
            <rFont val="Arial"/>
            <family val="2"/>
          </rPr>
          <t xml:space="preserve">DD/MM/YYYY</t>
        </r>
      </text>
    </comment>
    <comment ref="C4" authorId="0">
      <text>
        <r>
          <rPr>
            <sz val="10"/>
            <rFont val="Arial"/>
            <family val="2"/>
          </rPr>
          <t xml:space="preserve">Company, council or school name.</t>
        </r>
      </text>
    </comment>
    <comment ref="D4" authorId="0">
      <text>
        <r>
          <rPr>
            <sz val="10"/>
            <rFont val="Arial"/>
            <family val="2"/>
          </rPr>
          <t xml:space="preserve">Pick from the list.</t>
        </r>
      </text>
    </comment>
    <comment ref="E4" authorId="0">
      <text>
        <r>
          <rPr>
            <sz val="10"/>
            <rFont val="Arial"/>
            <family val="2"/>
          </rPr>
          <t xml:space="preserve">The person you deal with.</t>
        </r>
      </text>
    </comment>
    <comment ref="F4" authorId="0">
      <text>
        <r>
          <rPr>
            <sz val="10"/>
            <rFont val="Arial"/>
            <family val="2"/>
          </rPr>
          <t xml:space="preserve">e.g. Facilities Manager, Clerk, Estates Lead.</t>
        </r>
      </text>
    </comment>
    <comment ref="G4" authorId="0">
      <text>
        <r>
          <rPr>
            <sz val="10"/>
            <rFont val="Arial"/>
            <family val="2"/>
          </rPr>
          <t xml:space="preserve">Work email. Checked against the Do not contact tab.</t>
        </r>
      </text>
    </comment>
    <comment ref="H4" authorId="0">
      <text>
        <r>
          <rPr>
            <sz val="10"/>
            <rFont val="Arial"/>
            <family val="2"/>
          </rPr>
          <t xml:space="preserve">Typed as text, so the 0 stays.</t>
        </r>
      </text>
    </comment>
    <comment ref="I4" authorId="0">
      <text>
        <r>
          <rPr>
            <sz val="10"/>
            <rFont val="Arial"/>
            <family val="2"/>
          </rPr>
          <t xml:space="preserve">Sole traders and ordinary partnerships need consent (or a soft opt-in) before marketing emails.</t>
        </r>
      </text>
    </comment>
    <comment ref="J4" authorId="0">
      <text>
        <r>
          <rPr>
            <sz val="10"/>
            <rFont val="Arial"/>
            <family val="2"/>
          </rPr>
          <t xml:space="preserve">Usually "Legitimate interests (B2B)" for companies and public bodies.</t>
        </r>
      </text>
    </comment>
    <comment ref="K4" authorId="0">
      <text>
        <r>
          <rPr>
            <sz val="10"/>
            <rFont val="Arial"/>
            <family val="2"/>
          </rPr>
          <t xml:space="preserve">Where you got their details. You must be able to tell them if asked.</t>
        </r>
      </text>
    </comment>
    <comment ref="L4" authorId="0">
      <text>
        <r>
          <rPr>
            <sz val="10"/>
            <rFont val="Arial"/>
            <family val="2"/>
          </rPr>
          <t xml:space="preserve">Y = they asked not to be contacted. Row turns grey. Add them to Do not contact too.</t>
        </r>
      </text>
    </comment>
    <comment ref="M4" authorId="0">
      <text>
        <r>
          <rPr>
            <sz val="10"/>
            <rFont val="Arial"/>
            <family val="2"/>
          </rPr>
          <t xml:space="preserve">Checks opt-out, contact type and lawful basis.</t>
        </r>
      </text>
    </comment>
    <comment ref="N4" authorId="0">
      <text>
        <r>
          <rPr>
            <sz val="10"/>
            <rFont val="Arial"/>
            <family val="2"/>
          </rPr>
          <t xml:space="preserve">Pick from the list. Move it on after each contact.</t>
        </r>
      </text>
    </comment>
    <comment ref="O4" authorId="0">
      <text>
        <r>
          <rPr>
            <sz val="10"/>
            <rFont val="Arial"/>
            <family val="2"/>
          </rPr>
          <t xml:space="preserve">DD/MM/YYYY – update every time you speak or email.</t>
        </r>
      </text>
    </comment>
    <comment ref="P4" authorId="0">
      <text>
        <r>
          <rPr>
            <sz val="10"/>
            <rFont val="Arial"/>
            <family val="2"/>
          </rPr>
          <t xml:space="preserve">One small, clear step, e.g. "Call Sam re: winter works".</t>
        </r>
      </text>
    </comment>
    <comment ref="Q4" authorId="0">
      <text>
        <r>
          <rPr>
            <sz val="10"/>
            <rFont val="Arial"/>
            <family val="2"/>
          </rPr>
          <t xml:space="preserve">Leave blank and it is set 7 days after the last contact.</t>
        </r>
      </text>
    </comment>
    <comment ref="R4" authorId="0">
      <text>
        <r>
          <rPr>
            <sz val="10"/>
            <rFont val="Arial"/>
            <family val="2"/>
          </rPr>
          <t xml:space="preserve">Your date, or last contact + 7 days.</t>
        </r>
      </text>
    </comment>
    <comment ref="S4" authorId="0">
      <text>
        <r>
          <rPr>
            <sz val="10"/>
            <rFont val="Arial"/>
            <family val="2"/>
          </rPr>
          <t xml:space="preserve">Red = do it now. Amber = coming up or missing a next step. Green = on track.</t>
        </r>
      </text>
    </comment>
    <comment ref="T4" authorId="0">
      <text>
        <r>
          <rPr>
            <sz val="10"/>
            <rFont val="Arial"/>
            <family val="2"/>
          </rPr>
          <t xml:space="preserve">Your best guess of yearly work. Rough is fine.</t>
        </r>
      </text>
    </comment>
    <comment ref="U4" authorId="0">
      <text>
        <r>
          <rPr>
            <sz val="10"/>
            <rFont val="Arial"/>
            <family val="2"/>
          </rPr>
          <t xml:space="preserve">Anything useful: site names, contract dates, who else to speak to.</t>
        </r>
      </text>
    </comment>
  </commentList>
</comments>
</file>

<file path=xl/sharedStrings.xml><?xml version="1.0" encoding="utf-8"?>
<sst xmlns="http://schemas.openxmlformats.org/spreadsheetml/2006/main" count="513" uniqueCount="368">
  <si>
    <t xml:space="preserve">[COMPANY NAME]</t>
  </si>
  <si>
    <t xml:space="preserve">LEAD AND TENDER TRACKER</t>
  </si>
  <si>
    <t xml:space="preserve">ARB-BD-04  ·  Version 1.0  ·  Issued [DD/MM/YYYY]  ·  Review [DD/MM/YYYY]</t>
  </si>
  <si>
    <t xml:space="preserve">AT A GLANCE</t>
  </si>
  <si>
    <t xml:space="preserve">What it is for</t>
  </si>
  <si>
    <t xml:space="preserve">One place for every lead, quote and tender – and a Today tab that tells you what to do next.</t>
  </si>
  <si>
    <t xml:space="preserve">Who fills it in</t>
  </si>
  <si>
    <t xml:space="preserve">The owner or office lead. One person owns it; others can add notes.</t>
  </si>
  <si>
    <t xml:space="preserve">When</t>
  </si>
  <si>
    <t xml:space="preserve">Open Today every working morning (5 minutes). Do the Monday routine every week (15 minutes).</t>
  </si>
  <si>
    <t xml:space="preserve">Time needed</t>
  </si>
  <si>
    <t xml:space="preserve">Set-up: about 20 minutes. Adding a lead: about 2 minutes.</t>
  </si>
  <si>
    <t xml:space="preserve">Where it goes</t>
  </si>
  <si>
    <t xml:space="preserve">A secure shared drive with access only for the people who need it. Not on a personal laptop or USB stick.</t>
  </si>
  <si>
    <t xml:space="preserve">HOW TO USE IT – 5 STEPS</t>
  </si>
  <si>
    <t xml:space="preserve">1   Set it up  (20 min)</t>
  </si>
  <si>
    <t xml:space="preserve">Type your company name over [COMPANY NAME] at the top of this tab – every tab title updates automatically. Then change it in the footer (Page Layout &gt; Header &amp; Footer; on locked tabs, Review &gt; Unprotect Sheet first – no password). Check the drop-downs on the Lists tab – add your own portals and sectors. Look at the Example tab, then delete it.</t>
  </si>
  <si>
    <t xml:space="preserve">2   Add your leads  (2 min each)</t>
  </si>
  <si>
    <t xml:space="preserve">Leads tab: one row per contact. Pick the contact type and lawful basis, and say where you got their details. The "Can I email them?" column tells you if a marketing email is allowed.</t>
  </si>
  <si>
    <t xml:space="preserve">3   Log quotes and tenders</t>
  </si>
  <si>
    <t xml:space="preserve">Quotes tab: add each quote the day you send it. Tenders tab: add every tender you look at, and score it with the Bid / No-Bid Scorecard (ARB-BD-05) before you start writing.</t>
  </si>
  <si>
    <t xml:space="preserve">4   Open Today first thing  (5 min)</t>
  </si>
  <si>
    <t xml:space="preserve">Work down the plan: red follow-ups first, then tenders, then quotes. After each contact, update "Last contact date" and "Next action". Leave the date blank and it sets itself 7 days later.</t>
  </si>
  <si>
    <t xml:space="preserve">5   Close the loop</t>
  </si>
  <si>
    <t xml:space="preserve">Won or lost? Change the stage or status and add the decision or result date. Ask for tender feedback and note your lessons. Check the Results tab once a month.</t>
  </si>
  <si>
    <t xml:space="preserve">DO THIS EVERY MONDAY  (15 MINUTES)</t>
  </si>
  <si>
    <t xml:space="preserve">Your weekly routine</t>
  </si>
  <si>
    <t xml:space="preserve">Follow The 15-Minute Weekly Sales Routine (ARB-BD-06): [insert link to where you keep ARB-BD-06]</t>
  </si>
  <si>
    <t xml:space="preserve">Minutes 0–5</t>
  </si>
  <si>
    <t xml:space="preserve">Set a 15-minute timer. Open Today. Do the top 3 red follow-ups (one call or email each).</t>
  </si>
  <si>
    <t xml:space="preserve">Minutes 5–10</t>
  </si>
  <si>
    <t xml:space="preserve">Check tenders closing soon. Chase the 2 oldest quotes. Look at your portals for anything new.</t>
  </si>
  <si>
    <t xml:space="preserve">Minutes 10–15</t>
  </si>
  <si>
    <t xml:space="preserve">Add 3 new leads. Give every lead a next action. Stop when the timer goes – done is better than perfect.</t>
  </si>
  <si>
    <t xml:space="preserve">Struggle to start?</t>
  </si>
  <si>
    <t xml:space="preserve">Use the timer, do it at the same time every Monday, batch your emails, use the templates in ARB-BD-03, or sit with a colleague while you do it (body doubling).</t>
  </si>
  <si>
    <t xml:space="preserve">COLOUR KEY</t>
  </si>
  <si>
    <t xml:space="preserve">Blue text, white cell</t>
  </si>
  <si>
    <t xml:space="preserve">You type here.</t>
  </si>
  <si>
    <t xml:space="preserve">Green-shaded cell</t>
  </si>
  <si>
    <t xml:space="preserve">Works itself out. Locked so you cannot overwrite it by mistake (no password: Review &gt; Unprotect Sheet).</t>
  </si>
  <si>
    <t xml:space="preserve">Red</t>
  </si>
  <si>
    <t xml:space="preserve">Act now: overdue follow-up, tender closing in 7 days or fewer, quote waiting over 14 days, or "do not email".</t>
  </si>
  <si>
    <t xml:space="preserve">Amber</t>
  </si>
  <si>
    <t xml:space="preserve">Coming up, or something is missing (no next action, sole trader, quote waiting over 7 days).</t>
  </si>
  <si>
    <t xml:space="preserve">Grey row</t>
  </si>
  <si>
    <t xml:space="preserve">Opted out. Do not email them.</t>
  </si>
  <si>
    <t xml:space="preserve">DATA PROTECTION – PLEASE READ</t>
  </si>
  <si>
    <t xml:space="preserve">Personal data</t>
  </si>
  <si>
    <t xml:space="preserve">This tracker holds personal data (names, work emails, phone numbers). Store it securely, limit who can open it, and do not email copies around.</t>
  </si>
  <si>
    <t xml:space="preserve">Keep it tidy</t>
  </si>
  <si>
    <t xml:space="preserve">Delete leads you no longer deal with after [x] years (your retention period in the Data Protection Policy, ARB-POL-04). Keep only what you need in Notes.</t>
  </si>
  <si>
    <t xml:space="preserve">Suppression list</t>
  </si>
  <si>
    <t xml:space="preserve">When anyone asks not to be contacted, mark "Opted out" = Y and add them to the Do not contact tab the same day. Keep them on that list – it is how you avoid emailing them again (ARB-POL-04).</t>
  </si>
  <si>
    <t xml:space="preserve">Marketing emails</t>
  </si>
  <si>
    <t xml:space="preserve">Companies, LLPs and public bodies: you can send B2B marketing emails without consent if you say who you are and give an easy way to opt out. Sole traders and ordinary partnerships: you need consent or a soft opt-in first (PECR). Every email needs an opt-out line and a link to your privacy notice (ARB-POL-05). Templates: ARB-BD-03.</t>
  </si>
  <si>
    <t xml:space="preserve">Where you got it</t>
  </si>
  <si>
    <t xml:space="preserve">Always fill in "Source of contact". People can ask where you got their details, and you must be able to tell them.</t>
  </si>
  <si>
    <t xml:space="preserve">Checked</t>
  </si>
  <si>
    <t xml:space="preserve">ICO guidance on business-to-business marketing, checked 05/10/2026. The ICO says this guidance is under review after the Data (Use and Access) Act 2025 – check it at least once a year.</t>
  </si>
  <si>
    <t xml:space="preserve">Tip: the underlined names on the left are links – click to jump to that tab.</t>
  </si>
  <si>
    <t xml:space="preserve">[COMPANY NAME] – TODAY</t>
  </si>
  <si>
    <t xml:space="preserve">YOUR PLAN FOR TODAY – work down the list. Set a 15-minute timer and start with number 1.</t>
  </si>
  <si>
    <t xml:space="preserve">Follow-ups overdue</t>
  </si>
  <si>
    <t xml:space="preserve">Follow-ups due today</t>
  </si>
  <si>
    <t xml:space="preserve">Tenders closing soon</t>
  </si>
  <si>
    <t xml:space="preserve">Quotes waiting</t>
  </si>
  <si>
    <t xml:space="preserve">1   FOLLOW-UPS DUE TODAY AND OVERDUE  (oldest first)</t>
  </si>
  <si>
    <t xml:space="preserve">Due date</t>
  </si>
  <si>
    <t xml:space="preserve">Late by</t>
  </si>
  <si>
    <t xml:space="preserve">Ref</t>
  </si>
  <si>
    <t xml:space="preserve">Organisation</t>
  </si>
  <si>
    <t xml:space="preserve">Contact</t>
  </si>
  <si>
    <t xml:space="preserve">Phone</t>
  </si>
  <si>
    <t xml:space="preserve">Next action</t>
  </si>
  <si>
    <t xml:space="preserve">Stage</t>
  </si>
  <si>
    <t xml:space="preserve">2   TENDERS CLOSING IN THE NEXT 14 DAYS  (soonest first)</t>
  </si>
  <si>
    <t xml:space="preserve">Deadline</t>
  </si>
  <si>
    <t xml:space="preserve">Days left</t>
  </si>
  <si>
    <t xml:space="preserve">Title</t>
  </si>
  <si>
    <t xml:space="preserve">Buyer</t>
  </si>
  <si>
    <t xml:space="preserve">Status</t>
  </si>
  <si>
    <t xml:space="preserve">Next step</t>
  </si>
  <si>
    <t xml:space="preserve">Decision</t>
  </si>
  <si>
    <t xml:space="preserve">3   QUOTES WAITING MORE THAN 7 DAYS  (oldest first)</t>
  </si>
  <si>
    <t xml:space="preserve">Date sent</t>
  </si>
  <si>
    <t xml:space="preserve">Days waiting</t>
  </si>
  <si>
    <t xml:space="preserve">Quote ref</t>
  </si>
  <si>
    <t xml:space="preserve">Customer</t>
  </si>
  <si>
    <t xml:space="preserve">Value (£)</t>
  </si>
  <si>
    <t xml:space="preserve">Chased</t>
  </si>
  <si>
    <t xml:space="preserve">New leads</t>
  </si>
  <si>
    <t xml:space="preserve">Quotes sent</t>
  </si>
  <si>
    <t xml:space="preserve">Won</t>
  </si>
  <si>
    <t xml:space="preserve">Lost</t>
  </si>
  <si>
    <t xml:space="preserve">Win rate</t>
  </si>
  <si>
    <t xml:space="preserve">Value won (£)</t>
  </si>
  <si>
    <t xml:space="preserve">Won and lost count in the month of the decision or result date – so fill those dates in. Win rate = won ÷ (won + lost). Full figures are on the Results tab.</t>
  </si>
  <si>
    <t xml:space="preserve">[COMPANY NAME] – LEADS (PIPELINE)</t>
  </si>
  <si>
    <t xml:space="preserve">One row per contact.  Blue text = you type  ·  Green = works itself out (locked)  ·  Grey row = opted out – do not email  ·  Filter with the arrows in row 4. To sort: Review &gt; Unprotect Sheet (no password), sort, then protect again.</t>
  </si>
  <si>
    <t xml:space="preserve">WHO THEY ARE</t>
  </si>
  <si>
    <t xml:space="preserve">CAN WE CONTACT THEM? (data protection)</t>
  </si>
  <si>
    <t xml:space="preserve">WHERE WE ARE AND WHAT IS NEXT</t>
  </si>
  <si>
    <t xml:space="preserve">VALUE AND NOTES</t>
  </si>
  <si>
    <t xml:space="preserve">Date added</t>
  </si>
  <si>
    <t xml:space="preserve">Sector</t>
  </si>
  <si>
    <t xml:space="preserve">Contact name</t>
  </si>
  <si>
    <t xml:space="preserve">Role</t>
  </si>
  <si>
    <t xml:space="preserve">Email</t>
  </si>
  <si>
    <t xml:space="preserve">Contact type</t>
  </si>
  <si>
    <t xml:space="preserve">Lawful basis</t>
  </si>
  <si>
    <t xml:space="preserve">Source of contact</t>
  </si>
  <si>
    <t xml:space="preserve">Opted out? (Y/N)</t>
  </si>
  <si>
    <t xml:space="preserve">Can I email them?</t>
  </si>
  <si>
    <t xml:space="preserve">Last contact date</t>
  </si>
  <si>
    <t xml:space="preserve">Next action date</t>
  </si>
  <si>
    <t xml:space="preserve">Next action due</t>
  </si>
  <si>
    <t xml:space="preserve">RAG status</t>
  </si>
  <si>
    <t xml:space="preserve">Est. annual value (£)</t>
  </si>
  <si>
    <t xml:space="preserve">Notes</t>
  </si>
  <si>
    <t xml:space="preserve">key</t>
  </si>
  <si>
    <t xml:space="preserve">optflag</t>
  </si>
  <si>
    <t xml:space="preserve">Your own reference, e.g. L-001.</t>
  </si>
  <si>
    <t xml:space="preserve">DD/MM/YYYY</t>
  </si>
  <si>
    <t xml:space="preserve">Company, council or school name.</t>
  </si>
  <si>
    <t xml:space="preserve">Pick from the list.</t>
  </si>
  <si>
    <t xml:space="preserve">The person you deal with.</t>
  </si>
  <si>
    <t xml:space="preserve">e.g. Facilities Manager, Clerk, Estates Lead.</t>
  </si>
  <si>
    <t xml:space="preserve">Work email. Checked against the Do not contact tab.</t>
  </si>
  <si>
    <t xml:space="preserve">Typed as text, so the 0 stays.</t>
  </si>
  <si>
    <t xml:space="preserve">Sole traders and ordinary partnerships need consent (or a soft opt-in) before marketing emails.</t>
  </si>
  <si>
    <t xml:space="preserve">Usually "Legitimate interests (B2B)" for companies and public bodies.</t>
  </si>
  <si>
    <t xml:space="preserve">Where you got their details. You must be able to tell them if asked.</t>
  </si>
  <si>
    <t xml:space="preserve">Y = they asked not to be contacted. Row turns grey. Add them to Do not contact too.</t>
  </si>
  <si>
    <t xml:space="preserve">Checks opt-out, contact type and lawful basis.</t>
  </si>
  <si>
    <t xml:space="preserve">Pick from the list. Move it on after each contact.</t>
  </si>
  <si>
    <t xml:space="preserve">DD/MM/YYYY – update every time you speak or email.</t>
  </si>
  <si>
    <t xml:space="preserve">One small, clear step, e.g. "Call Sam re: winter works".</t>
  </si>
  <si>
    <t xml:space="preserve">Leave blank and it is set 7 days after the last contact.</t>
  </si>
  <si>
    <t xml:space="preserve">Your date, or last contact + 7 days.</t>
  </si>
  <si>
    <t xml:space="preserve">Red = do it now. Amber = coming up or missing a next step. Green = on track.</t>
  </si>
  <si>
    <t xml:space="preserve">Your best guess of yearly work. Rough is fine.</t>
  </si>
  <si>
    <t xml:space="preserve">Anything useful: site names, contract dates, who else to speak to.</t>
  </si>
  <si>
    <t xml:space="preserve">[COMPANY NAME] – TENDERS</t>
  </si>
  <si>
    <t xml:space="preserve">One row per tender you look at – even the ones you do not bid for.  Blue text = you type  ·  Green = works itself out  ·  Score every tender with ARB-BD-05 before you start writing.</t>
  </si>
  <si>
    <t xml:space="preserve">THE OPPORTUNITY</t>
  </si>
  <si>
    <t xml:space="preserve">DECISION AND OWNER</t>
  </si>
  <si>
    <t xml:space="preserve">RESULT AND LEARNING</t>
  </si>
  <si>
    <t xml:space="preserve">Portal</t>
  </si>
  <si>
    <t xml:space="preserve">Duration</t>
  </si>
  <si>
    <t xml:space="preserve">Bid / no-bid score (0–100)</t>
  </si>
  <si>
    <t xml:space="preserve">Lead writer</t>
  </si>
  <si>
    <t xml:space="preserve">Submitted date</t>
  </si>
  <si>
    <t xml:space="preserve">Result date</t>
  </si>
  <si>
    <t xml:space="preserve">Score or feedback received</t>
  </si>
  <si>
    <t xml:space="preserve">Lessons</t>
  </si>
  <si>
    <t xml:space="preserve">Your reference, e.g. T-001.</t>
  </si>
  <si>
    <t xml:space="preserve">As on the notice, e.g. Tree works framework 2027–2030.</t>
  </si>
  <si>
    <t xml:space="preserve">Council, housing association, school trust …</t>
  </si>
  <si>
    <t xml:space="preserve">Where it is advertised. Add your regular portals to the Lists tab.</t>
  </si>
  <si>
    <t xml:space="preserve">Estimated total contract value from the notice.</t>
  </si>
  <si>
    <t xml:space="preserve">e.g. 3 years + 1.</t>
  </si>
  <si>
    <t xml:space="preserve">Submission deadline, DD/MM/YYYY. Note the time in Notes.</t>
  </si>
  <si>
    <t xml:space="preserve">Red at 7 days or fewer. Blank once submitted.</t>
  </si>
  <si>
    <t xml:space="preserve">From the ARB-BD-05 scorecard.</t>
  </si>
  <si>
    <t xml:space="preserve">Bid, No bid or Not decided yet.</t>
  </si>
  <si>
    <t xml:space="preserve">One named person who owns the bid.</t>
  </si>
  <si>
    <t xml:space="preserve">DD/MM/YYYY – needed for the Results tab.</t>
  </si>
  <si>
    <t xml:space="preserve">Your score vs the winner, and the buyer’s comments.</t>
  </si>
  <si>
    <t xml:space="preserve">1–3 things to do differently next time.</t>
  </si>
  <si>
    <t xml:space="preserve">What to do next on this tender.</t>
  </si>
  <si>
    <t xml:space="preserve">[COMPANY NAME] – QUOTES</t>
  </si>
  <si>
    <t xml:space="preserve">Add every quote the day you send it.  Blue text = you type  ·  Green = works itself out  ·  Chase at 7 days, then again 7 days later. Most quotes are won on the follow-up.</t>
  </si>
  <si>
    <t xml:space="preserve">THE QUOTE</t>
  </si>
  <si>
    <t xml:space="preserve">CHASING AND DECISION</t>
  </si>
  <si>
    <t xml:space="preserve">RESULT</t>
  </si>
  <si>
    <t xml:space="preserve">Lead ref</t>
  </si>
  <si>
    <t xml:space="preserve">Days since sent</t>
  </si>
  <si>
    <t xml:space="preserve">Chased 1</t>
  </si>
  <si>
    <t xml:space="preserve">Chased 2</t>
  </si>
  <si>
    <t xml:space="preserve">Decision date</t>
  </si>
  <si>
    <t xml:space="preserve">Won value (£)</t>
  </si>
  <si>
    <t xml:space="preserve">wonval</t>
  </si>
  <si>
    <t xml:space="preserve">Your quote number.</t>
  </si>
  <si>
    <t xml:space="preserve">Who the quote went to.</t>
  </si>
  <si>
    <t xml:space="preserve">Optional: the Ref from the Leads tab.</t>
  </si>
  <si>
    <t xml:space="preserve">Quote total.</t>
  </si>
  <si>
    <t xml:space="preserve">Amber after 7 days, red after 14. Stops when closed.</t>
  </si>
  <si>
    <t xml:space="preserve">Date of first chase.</t>
  </si>
  <si>
    <t xml:space="preserve">Date of second chase.</t>
  </si>
  <si>
    <t xml:space="preserve">Blank or Sent = still waiting.</t>
  </si>
  <si>
    <t xml:space="preserve">When they said yes or no. Needed for Results.</t>
  </si>
  <si>
    <t xml:space="preserve">If blank on a won quote, the quote value is used.</t>
  </si>
  <si>
    <t xml:space="preserve">What to do next on this quote.</t>
  </si>
  <si>
    <t xml:space="preserve">Why won or lost, price feedback, start date.</t>
  </si>
  <si>
    <t xml:space="preserve">[COMPANY NAME] – RESULTS</t>
  </si>
  <si>
    <t xml:space="preserve">Works itself out from the Leads, Quotes and Tenders tabs. Look at it once a month: which sectors and sources win you work? Do more of those.</t>
  </si>
  <si>
    <t xml:space="preserve">Year to show</t>
  </si>
  <si>
    <t xml:space="preserve">← type a year (e.g. 2026) to look back. It shows this year by default.</t>
  </si>
  <si>
    <t xml:space="preserve">MONTH BY MONTH</t>
  </si>
  <si>
    <t xml:space="preserve">Month</t>
  </si>
  <si>
    <t xml:space="preserve">Quotes won</t>
  </si>
  <si>
    <t xml:space="preserve">Quotes lost</t>
  </si>
  <si>
    <t xml:space="preserve">Quote win rate</t>
  </si>
  <si>
    <t xml:space="preserve">Quote value won (£)</t>
  </si>
  <si>
    <t xml:space="preserve">Tenders submitted</t>
  </si>
  <si>
    <t xml:space="preserve">Tenders won</t>
  </si>
  <si>
    <t xml:space="preserve">Tenders lost</t>
  </si>
  <si>
    <t xml:space="preserve">Tender win rate</t>
  </si>
  <si>
    <t xml:space="preserve">Tender value won (£)</t>
  </si>
  <si>
    <t xml:space="preserve">Total value won (£)</t>
  </si>
  <si>
    <t xml:space="preserve">Average value per win (£)</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</si>
  <si>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</si>
  <si>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</si>
  <si>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</si>
  <si>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</si>
  <si>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</si>
  <si>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</si>
  <si>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</si>
  <si>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</si>
  <si>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</si>
  <si>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</si>
  <si>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</si>
  <si>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</si>
  <si>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Win rate = won ÷ (won + lost). A quote or tender counts in the month of its decision or result date. Value won uses the "Won value" on Quotes (or the quote value if blank) and the contract value on Tenders.</t>
  </si>
  <si>
    <t xml:space="preserve">Leads added</t>
  </si>
  <si>
    <t xml:space="preserve">Still open</t>
  </si>
  <si>
    <t xml:space="preserve">Average value won (£)</t>
  </si>
  <si>
    <t xml:space="preserve">Based on leads added in the year shown, using the Stage column on the Leads tab (Won / Lost). Value = estimated annual value. Blank rows are spare list slots.</t>
  </si>
  <si>
    <t xml:space="preserve">Average bid/no-bid score – won</t>
  </si>
  <si>
    <t xml:space="preserve">Average bid/no-bid score – lost</t>
  </si>
  <si>
    <t xml:space="preserve">If the tenders you win score much higher on ARB-BD-05 than the ones you lose, raise your "bid" threshold and stop chasing low-scoring tenders.</t>
  </si>
  <si>
    <t xml:space="preserve">[COMPANY NAME] – DO NOT CONTACT (SUPPRESSION LIST)</t>
  </si>
  <si>
    <t xml:space="preserve">Anyone who asks not to be contacted goes here, the same day. Keep the minimum: their email, who they are and when they asked. Never delete them from this list – it is how you avoid emailing them again by mistake. Check new contact lists against it. See ARB-POL-04.</t>
  </si>
  <si>
    <t xml:space="preserve">SUPPRESSION LIST – the Leads tab checks every email against column A</t>
  </si>
  <si>
    <t xml:space="preserve">Email address</t>
  </si>
  <si>
    <t xml:space="preserve">Name</t>
  </si>
  <si>
    <t xml:space="preserve">Date they asked</t>
  </si>
  <si>
    <t xml:space="preserve">How they asked</t>
  </si>
  <si>
    <t xml:space="preserve">Recorded by</t>
  </si>
  <si>
    <t xml:space="preserve">Type the email exactly as on the Leads tab.</t>
  </si>
  <si>
    <t xml:space="preserve">EXAMPLE ONLY – 5 DUMMY LEADS (delete this tab when you are ready)</t>
  </si>
  <si>
    <t xml:space="preserve">Made-up rows to show how the Leads tab behaves. Dates move with today, so you always see red, amber, green and grey. Nothing here feeds Today or Results.</t>
  </si>
  <si>
    <t xml:space="preserve">EX-01</t>
  </si>
  <si>
    <t xml:space="preserve">Example Facilities Co (dummy)</t>
  </si>
  <si>
    <t xml:space="preserve">Facilities management</t>
  </si>
  <si>
    <t xml:space="preserve">Sam Example</t>
  </si>
  <si>
    <t xml:space="preserve">Facilities Manager</t>
  </si>
  <si>
    <t xml:space="preserve">sam@example.com</t>
  </si>
  <si>
    <t xml:space="preserve">01632 960001</t>
  </si>
  <si>
    <t xml:space="preserve">Corporate</t>
  </si>
  <si>
    <t xml:space="preserve">Legitimate interests (B2B)</t>
  </si>
  <si>
    <t xml:space="preserve">Companies House or public register</t>
  </si>
  <si>
    <t xml:space="preserve">N</t>
  </si>
  <si>
    <t xml:space="preserve">Follow-up 1</t>
  </si>
  <si>
    <t xml:space="preserve">Send follow-up 2 with capability statement</t>
  </si>
  <si>
    <t xml:space="preserve">Example: no date typed, so due = last contact + 7 → overdue</t>
  </si>
  <si>
    <t xml:space="preserve">EX-02</t>
  </si>
  <si>
    <t xml:space="preserve">Example Property Group (dummy)</t>
  </si>
  <si>
    <t xml:space="preserve">Property management</t>
  </si>
  <si>
    <t xml:space="preserve">Alex Example</t>
  </si>
  <si>
    <t xml:space="preserve">Property Manager</t>
  </si>
  <si>
    <t xml:space="preserve">alex@example.com</t>
  </si>
  <si>
    <t xml:space="preserve">01632 960002</t>
  </si>
  <si>
    <t xml:space="preserve">Referral or recommendation</t>
  </si>
  <si>
    <t xml:space="preserve">Contacted</t>
  </si>
  <si>
    <t xml:space="preserve">Call to ask about approved supplier list</t>
  </si>
  <si>
    <t xml:space="preserve">Example: on track</t>
  </si>
  <si>
    <t xml:space="preserve">EX-03</t>
  </si>
  <si>
    <t xml:space="preserve">Example Landscapes (dummy)</t>
  </si>
  <si>
    <t xml:space="preserve">Small business</t>
  </si>
  <si>
    <t xml:space="preserve">Jo Example</t>
  </si>
  <si>
    <t xml:space="preserve">Owner</t>
  </si>
  <si>
    <t xml:space="preserve">jo@example.com</t>
  </si>
  <si>
    <t xml:space="preserve">01632 960003</t>
  </si>
  <si>
    <t xml:space="preserve">Sole trader or partnership (PECR – needs consent)</t>
  </si>
  <si>
    <t xml:space="preserve">Business directory or trade body</t>
  </si>
  <si>
    <t xml:space="preserve">New</t>
  </si>
  <si>
    <t xml:space="preserve">Phone first – ask if they are happy to get emails</t>
  </si>
  <si>
    <t xml:space="preserve">Example: sole trader – phone, do not cold email</t>
  </si>
  <si>
    <t xml:space="preserve">EX-04</t>
  </si>
  <si>
    <t xml:space="preserve">Example Homes Ltd (dummy)</t>
  </si>
  <si>
    <t xml:space="preserve">Housing association</t>
  </si>
  <si>
    <t xml:space="preserve">Chris Example</t>
  </si>
  <si>
    <t xml:space="preserve">Estates Officer</t>
  </si>
  <si>
    <t xml:space="preserve">chris@example.com</t>
  </si>
  <si>
    <t xml:space="preserve">01632 960004</t>
  </si>
  <si>
    <t xml:space="preserve">LinkedIn or social media</t>
  </si>
  <si>
    <t xml:space="preserve">Y</t>
  </si>
  <si>
    <t xml:space="preserve">Parked</t>
  </si>
  <si>
    <t xml:space="preserve">Example: asked not to be contacted – row is grey</t>
  </si>
  <si>
    <t xml:space="preserve">EX-05</t>
  </si>
  <si>
    <t xml:space="preserve">Example Parish Council (dummy)</t>
  </si>
  <si>
    <t xml:space="preserve">Parish or town council</t>
  </si>
  <si>
    <t xml:space="preserve">Pat Example</t>
  </si>
  <si>
    <t xml:space="preserve">Clerk</t>
  </si>
  <si>
    <t xml:space="preserve">clerk@example.com</t>
  </si>
  <si>
    <t xml:space="preserve">01632 960005</t>
  </si>
  <si>
    <t xml:space="preserve">Public body</t>
  </si>
  <si>
    <t xml:space="preserve">Their website (supplier page)</t>
  </si>
  <si>
    <t xml:space="preserve">Quote sent</t>
  </si>
  <si>
    <t xml:space="preserve">Check quote went to the council meeting</t>
  </si>
  <si>
    <t xml:space="preserve">Example: own date typed → due today</t>
  </si>
  <si>
    <t xml:space="preserve">Tender status</t>
  </si>
  <si>
    <t xml:space="preserve">Quote status</t>
  </si>
  <si>
    <t xml:space="preserve">Yes / No</t>
  </si>
  <si>
    <t xml:space="preserve">How they opted out</t>
  </si>
  <si>
    <t xml:space="preserve">SETTINGS</t>
  </si>
  <si>
    <t xml:space="preserve">Enquiry to us (website, phone, email)</t>
  </si>
  <si>
    <t xml:space="preserve">Reviewing</t>
  </si>
  <si>
    <t xml:space="preserve">Find a Tender</t>
  </si>
  <si>
    <t xml:space="preserve">Bid</t>
  </si>
  <si>
    <t xml:space="preserve">Sent</t>
  </si>
  <si>
    <t xml:space="preserve">Replied to an email</t>
  </si>
  <si>
    <t xml:space="preserve">Follow-up gap (days)</t>
  </si>
  <si>
    <t xml:space="preserve">If you leave "Next action date" blank, it is set this many days after the last contact.</t>
  </si>
  <si>
    <t xml:space="preserve">Consent (recorded)</t>
  </si>
  <si>
    <t xml:space="preserve">Bidding</t>
  </si>
  <si>
    <t xml:space="preserve">Contracts Finder</t>
  </si>
  <si>
    <t xml:space="preserve">No bid</t>
  </si>
  <si>
    <t xml:space="preserve">Unsubscribe link</t>
  </si>
  <si>
    <t xml:space="preserve">"Due soon" warning (days)</t>
  </si>
  <si>
    <t xml:space="preserve">Leads due within this many days turn amber.</t>
  </si>
  <si>
    <t xml:space="preserve">Construction and civil engineering</t>
  </si>
  <si>
    <t xml:space="preserve">Soft opt-in – existing customer</t>
  </si>
  <si>
    <t xml:space="preserve">Existing or past customer</t>
  </si>
  <si>
    <t xml:space="preserve">Submitted</t>
  </si>
  <si>
    <t xml:space="preserve">Public Contracts Scotland</t>
  </si>
  <si>
    <t xml:space="preserve">Not decided yet</t>
  </si>
  <si>
    <t xml:space="preserve">Phone call</t>
  </si>
  <si>
    <t xml:space="preserve">Tender look-ahead on Today (days)</t>
  </si>
  <si>
    <t xml:space="preserve">Tenders closing within this many days show on Today.</t>
  </si>
  <si>
    <t xml:space="preserve">Contract – they asked us for a quote</t>
  </si>
  <si>
    <t xml:space="preserve">Follow-up 2</t>
  </si>
  <si>
    <t xml:space="preserve">Clarification</t>
  </si>
  <si>
    <t xml:space="preserve">Sell2Wales</t>
  </si>
  <si>
    <t xml:space="preserve">Withdrawn</t>
  </si>
  <si>
    <t xml:space="preserve">In person</t>
  </si>
  <si>
    <t xml:space="preserve">Tender red warning (days left)</t>
  </si>
  <si>
    <t xml:space="preserve">Days left turns red at or below this.</t>
  </si>
  <si>
    <t xml:space="preserve">Local authority</t>
  </si>
  <si>
    <t xml:space="preserve">Meeting</t>
  </si>
  <si>
    <t xml:space="preserve">eTendersNI</t>
  </si>
  <si>
    <t xml:space="preserve">Expired</t>
  </si>
  <si>
    <t xml:space="preserve">Letter</t>
  </si>
  <si>
    <t xml:space="preserve">Quote turns amber after (days)</t>
  </si>
  <si>
    <t xml:space="preserve">Quotes waiting longer than this show on Today.</t>
  </si>
  <si>
    <t xml:space="preserve">Buyer's own e-tendering portal (name in Notes)</t>
  </si>
  <si>
    <t xml:space="preserve">Other</t>
  </si>
  <si>
    <t xml:space="preserve">Quote turns red after (days)</t>
  </si>
  <si>
    <t xml:space="preserve">Schools, colleges and universities</t>
  </si>
  <si>
    <t xml:space="preserve">Networking or trade event</t>
  </si>
  <si>
    <t xml:space="preserve">Approved supplier</t>
  </si>
  <si>
    <t xml:space="preserve">Framework or DPS</t>
  </si>
  <si>
    <t xml:space="preserve">Delete old leads after (years)</t>
  </si>
  <si>
    <t xml:space="preserve">[x]</t>
  </si>
  <si>
    <t xml:space="preserve">Your retention period – set it in your Data Protection Policy (ARB-POL-04). Not used in formulas.</t>
  </si>
  <si>
    <t xml:space="preserve">NHS and healthcare</t>
  </si>
  <si>
    <t xml:space="preserve">Tender or framework portal</t>
  </si>
  <si>
    <t xml:space="preserve">Email or direct invitation</t>
  </si>
  <si>
    <t xml:space="preserve">Utilities and telecoms</t>
  </si>
  <si>
    <t xml:space="preserve">Highways and rail</t>
  </si>
  <si>
    <t xml:space="preserve">Other – say in Notes</t>
  </si>
  <si>
    <t xml:space="preserve">Estates, farms and landowners</t>
  </si>
  <si>
    <t xml:space="preserve">Commercial premises (offices, retail, industrial)</t>
  </si>
  <si>
    <t xml:space="preserve">Charities, churches and community groups</t>
  </si>
  <si>
    <t xml:space="preserve">Domestic</t>
  </si>
  <si>
    <t xml:space="preserve">Add your own items in the blank cells under each list (up to row 31). Keep the first row of each list as it is. Do not rename Won, Lost, Parked, Submitted, Withdrawn, Sent or Expired – the formulas look for those words.</t>
  </si>
</sst>
</file>

<file path=xl/styles.xml><?xml version="1.0" encoding="utf-8"?>
<styleSheet xmlns="http://schemas.openxmlformats.org/spreadsheetml/2006/main">
  <numFmts count="9">
    <numFmt numFmtId="164" formatCode="General"/>
    <numFmt numFmtId="165" formatCode="General"/>
    <numFmt numFmtId="166" formatCode="dd/mm/yyyy"/>
    <numFmt numFmtId="167" formatCode="@"/>
    <numFmt numFmtId="168" formatCode="0;&quot;Passed&quot;;&quot;Today&quot;"/>
    <numFmt numFmtId="169" formatCode="0"/>
    <numFmt numFmtId="170" formatCode="\£#,##0"/>
    <numFmt numFmtId="171" formatCode="0%"/>
    <numFmt numFmtId="172" formatCode="mm/dd/yy"/>
  </numFmts>
  <fonts count="34">
    <font>
      <sz val="11"/>
      <color theme="1"/>
      <name val="Calibri"/>
      <family val="2"/>
      <charset val="1"/>
    </font>
    <font>
      <sz val="10"/>
      <name val="Arial"/>
      <family val="0"/>
    </font>
    <font>
      <sz val="10"/>
      <name val="Arial"/>
      <family val="0"/>
    </font>
    <font>
      <sz val="10"/>
      <name val="Arial"/>
      <family val="0"/>
    </font>
    <font>
      <b val="true"/>
      <sz val="11"/>
      <color rgb="FFFF0000"/>
      <name val="Aptos"/>
      <family val="0"/>
      <charset val="1"/>
    </font>
    <font>
      <b val="true"/>
      <sz val="20"/>
      <color rgb="FF1E4D2B"/>
      <name val="Aptos"/>
      <family val="0"/>
      <charset val="1"/>
    </font>
    <font>
      <sz val="10"/>
      <color rgb="FF595959"/>
      <name val="Aptos"/>
      <family val="0"/>
      <charset val="1"/>
    </font>
    <font>
      <b val="true"/>
      <sz val="11"/>
      <color rgb="FFFFFFFF"/>
      <name val="Aptos"/>
      <family val="0"/>
      <charset val="1"/>
    </font>
    <font>
      <b val="true"/>
      <sz val="10"/>
      <color rgb="FF1E4D2B"/>
      <name val="Aptos"/>
      <family val="0"/>
      <charset val="1"/>
    </font>
    <font>
      <sz val="10"/>
      <color rgb="FF000000"/>
      <name val="Aptos"/>
      <family val="0"/>
      <charset val="1"/>
    </font>
    <font>
      <b val="true"/>
      <u val="single"/>
      <sz val="10"/>
      <color rgb="FF2E6B3A"/>
      <name val="Aptos"/>
      <family val="0"/>
      <charset val="1"/>
    </font>
    <font>
      <i val="true"/>
      <sz val="9"/>
      <color rgb="FF595959"/>
      <name val="Aptos"/>
      <family val="0"/>
      <charset val="1"/>
    </font>
    <font>
      <b val="true"/>
      <sz val="18"/>
      <color rgb="FF1E4D2B"/>
      <name val="Aptos"/>
      <family val="0"/>
      <charset val="1"/>
    </font>
    <font>
      <sz val="9"/>
      <color rgb="FF595959"/>
      <name val="Aptos"/>
      <family val="0"/>
      <charset val="1"/>
    </font>
    <font>
      <b val="true"/>
      <sz val="12"/>
      <color rgb="FF1E4D2B"/>
      <name val="Aptos"/>
      <family val="0"/>
      <charset val="1"/>
    </font>
    <font>
      <b val="true"/>
      <sz val="9"/>
      <color rgb="FFFFFFFF"/>
      <name val="Aptos"/>
      <family val="0"/>
      <charset val="1"/>
    </font>
    <font>
      <sz val="10"/>
      <name val="Aptos"/>
      <family val="0"/>
      <charset val="1"/>
    </font>
    <font>
      <b val="true"/>
      <sz val="16"/>
      <color rgb="FF1E4D2B"/>
      <name val="Aptos"/>
      <family val="0"/>
      <charset val="1"/>
    </font>
    <font>
      <b val="true"/>
      <sz val="10"/>
      <color rgb="FFFFFFFF"/>
      <name val="Aptos"/>
      <family val="0"/>
      <charset val="1"/>
    </font>
    <font>
      <i val="true"/>
      <sz val="8"/>
      <color rgb="FF595959"/>
      <name val="Aptos"/>
      <family val="0"/>
      <charset val="1"/>
    </font>
    <font>
      <sz val="10"/>
      <color rgb="FF0000FF"/>
      <name val="Aptos"/>
      <family val="0"/>
      <charset val="1"/>
    </font>
    <font>
      <b val="true"/>
      <sz val="9"/>
      <color rgb="FF1E4D2B"/>
      <name val="Aptos"/>
      <family val="0"/>
      <charset val="1"/>
    </font>
    <font>
      <sz val="10"/>
      <name val="Arial"/>
      <family val="2"/>
    </font>
    <font>
      <b val="true"/>
      <sz val="12"/>
      <color rgb="FF0000FF"/>
      <name val="Aptos"/>
      <family val="0"/>
      <charset val="1"/>
    </font>
    <font>
      <b val="true"/>
      <sz val="10"/>
      <color rgb="FF000000"/>
      <name val="Aptos"/>
      <family val="0"/>
      <charset val="1"/>
    </font>
    <font>
      <sz val="10"/>
      <color rgb="FF1E4D2B"/>
      <name val="Aptos"/>
      <family val="0"/>
      <charset val="1"/>
    </font>
    <font>
      <b val="true"/>
      <sz val="9"/>
      <color rgb="FF000000"/>
      <name val="Aptos"/>
      <family val="0"/>
      <charset val="1"/>
    </font>
    <font>
      <sz val="9"/>
      <color rgb="FF1E4D2B"/>
      <name val="Aptos"/>
      <family val="0"/>
      <charset val="1"/>
    </font>
    <font>
      <b val="true"/>
      <sz val="18"/>
      <color rgb="FF000000"/>
      <name val="Calibri"/>
      <family val="2"/>
    </font>
    <font>
      <sz val="10"/>
      <color rgb="FF000000"/>
      <name val="Calibri"/>
      <family val="2"/>
    </font>
    <font>
      <b val="true"/>
      <sz val="10"/>
      <color rgb="FF000000"/>
      <name val="Calibri"/>
      <family val="2"/>
    </font>
    <font>
      <b val="true"/>
      <sz val="16"/>
      <color rgb="FF9C0006"/>
      <name val="Aptos"/>
      <family val="0"/>
      <charset val="1"/>
    </font>
    <font>
      <b val="true"/>
      <sz val="10"/>
      <color rgb="FF0000FF"/>
      <name val="Aptos"/>
      <family val="0"/>
      <charset val="1"/>
    </font>
    <font>
      <b val="true"/>
      <sz val="10"/>
      <color rgb="FFFF0000"/>
      <name val="Aptos"/>
      <family val="0"/>
      <charset val="1"/>
    </font>
  </fonts>
  <fills count="8">
    <fill>
      <patternFill patternType="none"/>
    </fill>
    <fill>
      <patternFill patternType="gray125"/>
    </fill>
    <fill>
      <patternFill patternType="solid">
        <fgColor rgb="FF1E4D2B"/>
        <bgColor rgb="FF2E6B3A"/>
      </patternFill>
    </fill>
    <fill>
      <patternFill patternType="solid">
        <fgColor rgb="FFEFF6EC"/>
        <bgColor rgb="FFEFEFEF"/>
      </patternFill>
    </fill>
    <fill>
      <patternFill patternType="solid">
        <fgColor rgb="FF2E6B3A"/>
        <bgColor rgb="FF595959"/>
      </patternFill>
    </fill>
    <fill>
      <patternFill patternType="solid">
        <fgColor rgb="FFDCEBD6"/>
        <bgColor rgb="FFD9D9D9"/>
      </patternFill>
    </fill>
    <fill>
      <patternFill patternType="solid">
        <fgColor rgb="FFFAFAFA"/>
        <bgColor rgb="FFFFFFFF"/>
      </patternFill>
    </fill>
    <fill>
      <patternFill patternType="solid">
        <fgColor rgb="FFFFFFFF"/>
        <bgColor rgb="FFFAFAFA"/>
      </patternFill>
    </fill>
  </fills>
  <borders count="3">
    <border diagonalUp="false" diagonalDown="false">
      <left/>
      <right/>
      <top/>
      <bottom/>
      <diagonal/>
    </border>
    <border diagonalUp="false" diagonalDown="false">
      <left style="thin">
        <color rgb="FFB5D3AE"/>
      </left>
      <right style="thin">
        <color rgb="FFB5D3AE"/>
      </right>
      <top style="thin">
        <color rgb="FFB5D3AE"/>
      </top>
      <bottom style="thin">
        <color rgb="FFB5D3AE"/>
      </bottom>
      <diagonal/>
    </border>
    <border diagonalUp="false" diagonalDown="false">
      <left style="thin">
        <color rgb="FFB5D3AE"/>
      </left>
      <right/>
      <top style="thin">
        <color rgb="FFB5D3AE"/>
      </top>
      <bottom style="thin">
        <color rgb="FFB5D3A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7" fillId="4" borderId="0" xfId="0" applyFont="true" applyBorder="false" applyAlignment="true" applyProtection="false">
      <alignment horizontal="general" vertical="center"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8" fillId="5"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true" applyAlignment="true" applyProtection="false">
      <alignment horizontal="general" vertical="center" textRotation="0" wrapText="true" indent="0" shrinkToFit="false"/>
      <protection locked="true" hidden="false"/>
    </xf>
    <xf numFmtId="164" fontId="15" fillId="4" borderId="0" xfId="0" applyFont="true" applyBorder="true" applyAlignment="true" applyProtection="false">
      <alignment horizontal="center" vertical="center" textRotation="0" wrapText="true" indent="0" shrinkToFit="false"/>
      <protection locked="true" hidden="false"/>
    </xf>
    <xf numFmtId="165" fontId="5" fillId="3" borderId="0" xfId="0" applyFont="true" applyBorder="true" applyAlignment="true" applyProtection="false">
      <alignment horizontal="center" vertical="center" textRotation="0" wrapText="true" indent="0" shrinkToFit="false"/>
      <protection locked="true" hidden="false"/>
    </xf>
    <xf numFmtId="164" fontId="15" fillId="4" borderId="1" xfId="0" applyFont="true" applyBorder="true" applyAlignment="true" applyProtection="false">
      <alignment horizontal="center" vertical="center" textRotation="0" wrapText="true" indent="0" shrinkToFit="false"/>
      <protection locked="true" hidden="false"/>
    </xf>
    <xf numFmtId="166" fontId="16"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16" fillId="0" borderId="1" xfId="0" applyFont="true" applyBorder="true" applyAlignment="true" applyProtection="false">
      <alignment horizontal="general" vertical="center" textRotation="0" wrapText="true" indent="0" shrinkToFit="false"/>
      <protection locked="true" hidden="false"/>
    </xf>
    <xf numFmtId="167" fontId="16" fillId="0" borderId="1"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true" applyAlignment="false" applyProtection="false">
      <alignment horizontal="general" vertical="bottom" textRotation="0" wrapText="false" indent="0" shrinkToFit="false"/>
      <protection locked="true" hidden="false"/>
    </xf>
    <xf numFmtId="168" fontId="16" fillId="0" borderId="1" xfId="0" applyFont="true" applyBorder="true" applyAlignment="true" applyProtection="false">
      <alignment horizontal="center" vertical="center" textRotation="0" wrapText="true" indent="0" shrinkToFit="false"/>
      <protection locked="true" hidden="false"/>
    </xf>
    <xf numFmtId="169" fontId="16" fillId="0" borderId="1" xfId="0" applyFont="true" applyBorder="true" applyAlignment="true" applyProtection="false">
      <alignment horizontal="center" vertical="center" textRotation="0" wrapText="true" indent="0" shrinkToFit="false"/>
      <protection locked="true" hidden="false"/>
    </xf>
    <xf numFmtId="170" fontId="16" fillId="0" borderId="1" xfId="0" applyFont="true" applyBorder="true" applyAlignment="true" applyProtection="false">
      <alignment horizontal="general" vertical="center" textRotation="0" wrapText="true" indent="0" shrinkToFit="false"/>
      <protection locked="true" hidden="false"/>
    </xf>
    <xf numFmtId="169" fontId="12" fillId="3" borderId="0"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71" fontId="12" fillId="3" borderId="0" xfId="0" applyFont="true" applyBorder="true" applyAlignment="true" applyProtection="false">
      <alignment horizontal="center" vertical="center" textRotation="0" wrapText="true" indent="0" shrinkToFit="false"/>
      <protection locked="true" hidden="false"/>
    </xf>
    <xf numFmtId="170" fontId="12" fillId="3" borderId="0"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2" borderId="0" xfId="0" applyFont="true" applyBorder="true" applyAlignment="true" applyProtection="false">
      <alignment horizontal="center" vertical="center" textRotation="0" wrapText="true" indent="0" shrinkToFit="false"/>
      <protection locked="true" hidden="false"/>
    </xf>
    <xf numFmtId="164" fontId="15" fillId="2" borderId="1" xfId="0" applyFont="true" applyBorder="true" applyAlignment="true" applyProtection="false">
      <alignment horizontal="center" vertical="center" textRotation="0" wrapText="true" indent="0" shrinkToFit="false"/>
      <protection locked="true" hidden="false"/>
    </xf>
    <xf numFmtId="164" fontId="19" fillId="6" borderId="1" xfId="0" applyFont="true" applyBorder="true" applyAlignment="true" applyProtection="false">
      <alignment horizontal="general" vertical="top" textRotation="0" wrapText="true" indent="0" shrinkToFit="false"/>
      <protection locked="true" hidden="false"/>
    </xf>
    <xf numFmtId="164" fontId="19" fillId="3"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true">
      <alignment horizontal="general" vertical="center" textRotation="0" wrapText="true" indent="0" shrinkToFit="false"/>
      <protection locked="false" hidden="false"/>
    </xf>
    <xf numFmtId="166" fontId="20" fillId="0" borderId="1" xfId="0" applyFont="true" applyBorder="true" applyAlignment="true" applyProtection="true">
      <alignment horizontal="center" vertical="center" textRotation="0" wrapText="true" indent="0" shrinkToFit="false"/>
      <protection locked="false" hidden="false"/>
    </xf>
    <xf numFmtId="167" fontId="20" fillId="0" borderId="1" xfId="0" applyFont="true" applyBorder="true" applyAlignment="true" applyProtection="true">
      <alignment horizontal="general" vertical="center" textRotation="0" wrapText="true" indent="0" shrinkToFit="false"/>
      <protection locked="false" hidden="false"/>
    </xf>
    <xf numFmtId="164" fontId="20" fillId="0" borderId="1" xfId="0" applyFont="true" applyBorder="true" applyAlignment="true" applyProtection="true">
      <alignment horizontal="center" vertical="center" textRotation="0" wrapText="true" indent="0" shrinkToFit="false"/>
      <protection locked="false" hidden="false"/>
    </xf>
    <xf numFmtId="164" fontId="21" fillId="3" borderId="1" xfId="0" applyFont="true" applyBorder="true" applyAlignment="true" applyProtection="false">
      <alignment horizontal="general" vertical="center" textRotation="0" wrapText="true" indent="0" shrinkToFit="false"/>
      <protection locked="true" hidden="false"/>
    </xf>
    <xf numFmtId="166" fontId="21" fillId="3" borderId="1" xfId="0" applyFont="true" applyBorder="true" applyAlignment="true" applyProtection="false">
      <alignment horizontal="center" vertical="center" textRotation="0" wrapText="true" indent="0" shrinkToFit="false"/>
      <protection locked="true" hidden="false"/>
    </xf>
    <xf numFmtId="170" fontId="20" fillId="0" borderId="1" xfId="0" applyFont="true" applyBorder="true" applyAlignment="true" applyProtection="true">
      <alignment horizontal="general" vertical="center" textRotation="0" wrapText="true" indent="0" shrinkToFit="false"/>
      <protection locked="false" hidden="false"/>
    </xf>
    <xf numFmtId="168" fontId="21" fillId="3" borderId="1" xfId="0" applyFont="true" applyBorder="true" applyAlignment="true" applyProtection="false">
      <alignment horizontal="center" vertical="center" textRotation="0" wrapText="true" indent="0" shrinkToFit="false"/>
      <protection locked="true" hidden="false"/>
    </xf>
    <xf numFmtId="169" fontId="20" fillId="0" borderId="1" xfId="0" applyFont="true" applyBorder="true" applyAlignment="true" applyProtection="true">
      <alignment horizontal="center" vertical="center" textRotation="0" wrapText="true" indent="0" shrinkToFit="false"/>
      <protection locked="false" hidden="false"/>
    </xf>
    <xf numFmtId="169" fontId="21" fillId="3"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23" fillId="0" borderId="1" xfId="0" applyFont="true" applyBorder="true" applyAlignment="true" applyProtection="true">
      <alignment horizontal="center" vertical="center" textRotation="0" wrapText="true" indent="0" shrinkToFit="false"/>
      <protection locked="false" hidden="false"/>
    </xf>
    <xf numFmtId="169" fontId="24" fillId="7" borderId="1" xfId="0" applyFont="true" applyBorder="true" applyAlignment="true" applyProtection="false">
      <alignment horizontal="center" vertical="center" textRotation="0" wrapText="true" indent="0" shrinkToFit="false"/>
      <protection locked="true" hidden="false"/>
    </xf>
    <xf numFmtId="169" fontId="25" fillId="7" borderId="1" xfId="0" applyFont="true" applyBorder="true" applyAlignment="true" applyProtection="false">
      <alignment horizontal="center" vertical="center" textRotation="0" wrapText="true" indent="0" shrinkToFit="false"/>
      <protection locked="true" hidden="false"/>
    </xf>
    <xf numFmtId="171" fontId="25" fillId="7" borderId="1" xfId="0" applyFont="true" applyBorder="true" applyAlignment="true" applyProtection="false">
      <alignment horizontal="center" vertical="center" textRotation="0" wrapText="true" indent="0" shrinkToFit="false"/>
      <protection locked="true" hidden="false"/>
    </xf>
    <xf numFmtId="170" fontId="25" fillId="7" borderId="1" xfId="0" applyFont="true" applyBorder="true" applyAlignment="true" applyProtection="false">
      <alignment horizontal="center" vertical="center" textRotation="0" wrapText="true" indent="0" shrinkToFit="false"/>
      <protection locked="true" hidden="false"/>
    </xf>
    <xf numFmtId="169" fontId="24" fillId="3" borderId="1" xfId="0" applyFont="true" applyBorder="true" applyAlignment="true" applyProtection="false">
      <alignment horizontal="center" vertical="center" textRotation="0" wrapText="true" indent="0" shrinkToFit="false"/>
      <protection locked="true" hidden="false"/>
    </xf>
    <xf numFmtId="169" fontId="25" fillId="3" borderId="1" xfId="0" applyFont="true" applyBorder="true" applyAlignment="true" applyProtection="false">
      <alignment horizontal="center" vertical="center" textRotation="0" wrapText="true" indent="0" shrinkToFit="false"/>
      <protection locked="true" hidden="false"/>
    </xf>
    <xf numFmtId="171" fontId="25" fillId="3" borderId="1" xfId="0" applyFont="true" applyBorder="true" applyAlignment="true" applyProtection="false">
      <alignment horizontal="center" vertical="center" textRotation="0" wrapText="true" indent="0" shrinkToFit="false"/>
      <protection locked="true" hidden="false"/>
    </xf>
    <xf numFmtId="170" fontId="25" fillId="3" borderId="1" xfId="0" applyFont="true" applyBorder="true" applyAlignment="true" applyProtection="false">
      <alignment horizontal="center" vertical="center" textRotation="0" wrapText="true" indent="0" shrinkToFit="false"/>
      <protection locked="true" hidden="false"/>
    </xf>
    <xf numFmtId="169" fontId="18" fillId="2" borderId="1" xfId="0" applyFont="true" applyBorder="true" applyAlignment="true" applyProtection="false">
      <alignment horizontal="center" vertical="center" textRotation="0" wrapText="true" indent="0" shrinkToFit="false"/>
      <protection locked="true" hidden="false"/>
    </xf>
    <xf numFmtId="171" fontId="18" fillId="2" borderId="1" xfId="0" applyFont="true" applyBorder="true" applyAlignment="true" applyProtection="false">
      <alignment horizontal="center" vertical="center" textRotation="0" wrapText="true" indent="0" shrinkToFit="false"/>
      <protection locked="true" hidden="false"/>
    </xf>
    <xf numFmtId="170" fontId="18" fillId="2" borderId="1" xfId="0" applyFont="true" applyBorder="true" applyAlignment="true" applyProtection="false">
      <alignment horizontal="center" vertical="center" textRotation="0" wrapText="true" indent="0" shrinkToFit="false"/>
      <protection locked="true" hidden="false"/>
    </xf>
    <xf numFmtId="164" fontId="15" fillId="4" borderId="2" xfId="0" applyFont="true" applyBorder="true" applyAlignment="true" applyProtection="false">
      <alignment horizontal="center" vertical="center" textRotation="0" wrapText="true" indent="0" shrinkToFit="false"/>
      <protection locked="true" hidden="false"/>
    </xf>
    <xf numFmtId="169" fontId="26" fillId="7" borderId="1" xfId="0" applyFont="true" applyBorder="true" applyAlignment="true" applyProtection="false">
      <alignment horizontal="general" vertical="center" textRotation="0" wrapText="true" indent="0" shrinkToFit="false"/>
      <protection locked="true" hidden="false"/>
    </xf>
    <xf numFmtId="169" fontId="27" fillId="7" borderId="1" xfId="0" applyFont="true" applyBorder="true" applyAlignment="true" applyProtection="false">
      <alignment horizontal="center" vertical="center" textRotation="0" wrapText="true" indent="0" shrinkToFit="false"/>
      <protection locked="true" hidden="false"/>
    </xf>
    <xf numFmtId="171" fontId="27" fillId="7" borderId="1" xfId="0" applyFont="true" applyBorder="true" applyAlignment="true" applyProtection="false">
      <alignment horizontal="center" vertical="center" textRotation="0" wrapText="true" indent="0" shrinkToFit="false"/>
      <protection locked="true" hidden="false"/>
    </xf>
    <xf numFmtId="170" fontId="27" fillId="7" borderId="1" xfId="0" applyFont="true" applyBorder="true" applyAlignment="true" applyProtection="false">
      <alignment horizontal="center" vertical="center" textRotation="0" wrapText="true" indent="0" shrinkToFit="false"/>
      <protection locked="true" hidden="false"/>
    </xf>
    <xf numFmtId="169" fontId="26" fillId="3" borderId="1" xfId="0" applyFont="true" applyBorder="true" applyAlignment="true" applyProtection="false">
      <alignment horizontal="general" vertical="center" textRotation="0" wrapText="true" indent="0" shrinkToFit="false"/>
      <protection locked="true" hidden="false"/>
    </xf>
    <xf numFmtId="169" fontId="27" fillId="3" borderId="1" xfId="0" applyFont="true" applyBorder="true" applyAlignment="true" applyProtection="false">
      <alignment horizontal="center" vertical="center" textRotation="0" wrapText="true" indent="0" shrinkToFit="false"/>
      <protection locked="true" hidden="false"/>
    </xf>
    <xf numFmtId="171" fontId="27" fillId="3" borderId="1" xfId="0" applyFont="true" applyBorder="true" applyAlignment="true" applyProtection="false">
      <alignment horizontal="center" vertical="center" textRotation="0" wrapText="true" indent="0" shrinkToFit="false"/>
      <protection locked="true" hidden="false"/>
    </xf>
    <xf numFmtId="170" fontId="27" fillId="3" borderId="1" xfId="0" applyFont="true" applyBorder="true" applyAlignment="true" applyProtection="false">
      <alignment horizontal="center" vertical="center" textRotation="0" wrapText="true" indent="0" shrinkToFit="false"/>
      <protection locked="true" hidden="false"/>
    </xf>
    <xf numFmtId="169" fontId="8" fillId="0" borderId="1" xfId="0" applyFont="true" applyBorder="true" applyAlignment="true" applyProtection="false">
      <alignment horizontal="center" vertical="center" textRotation="0" wrapText="true" indent="0" shrinkToFit="false"/>
      <protection locked="true" hidden="false"/>
    </xf>
    <xf numFmtId="171" fontId="8"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9" fillId="6"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true">
      <alignment horizontal="general" vertical="bottom" textRotation="0" wrapText="false" indent="0" shrinkToFit="false"/>
      <protection locked="false" hidden="false"/>
    </xf>
    <xf numFmtId="166" fontId="20" fillId="0" borderId="1" xfId="0" applyFont="true" applyBorder="true" applyAlignment="false" applyProtection="true">
      <alignment horizontal="general" vertical="bottom" textRotation="0" wrapText="false" indent="0" shrinkToFit="false"/>
      <protection locked="false" hidden="false"/>
    </xf>
    <xf numFmtId="164" fontId="31" fillId="0" borderId="0" xfId="0" applyFont="true" applyBorder="false" applyAlignment="false" applyProtection="false">
      <alignment horizontal="general" vertical="bottom" textRotation="0" wrapText="false" indent="0" shrinkToFit="false"/>
      <protection locked="true" hidden="false"/>
    </xf>
    <xf numFmtId="172" fontId="21" fillId="3" borderId="1" xfId="0" applyFont="true" applyBorder="true" applyAlignment="true" applyProtection="false">
      <alignment horizontal="general" vertical="center" textRotation="0" wrapText="true" indent="0" shrinkToFit="false"/>
      <protection locked="true" hidden="false"/>
    </xf>
    <xf numFmtId="164" fontId="18" fillId="4" borderId="0" xfId="0" applyFont="true" applyBorder="false" applyAlignment="false" applyProtection="false">
      <alignment horizontal="general" vertical="bottom" textRotation="0" wrapText="false" indent="0" shrinkToFit="false"/>
      <protection locked="true" hidden="false"/>
    </xf>
    <xf numFmtId="164" fontId="18" fillId="2"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32"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8">
    <dxf>
      <font>
        <name val="Aptos"/>
        <charset val="1"/>
        <family val="0"/>
        <b val="1"/>
        <color rgb="FF9C0006"/>
        <sz val="20"/>
      </font>
      <fill>
        <patternFill>
          <bgColor rgb="FFF8D7DA"/>
        </patternFill>
      </fill>
    </dxf>
    <dxf>
      <font>
        <name val="Aptos"/>
        <charset val="1"/>
        <family val="0"/>
        <b val="1"/>
        <color rgb="FF9C0006"/>
        <sz val="10"/>
      </font>
      <fill>
        <patternFill>
          <bgColor rgb="FFF4B6BC"/>
        </patternFill>
      </fill>
    </dxf>
    <dxf>
      <font>
        <name val="Aptos"/>
        <charset val="1"/>
        <family val="0"/>
        <color rgb="FF9C0006"/>
        <sz val="10"/>
      </font>
      <fill>
        <patternFill>
          <bgColor rgb="FFF8D7DA"/>
        </patternFill>
      </fill>
    </dxf>
    <dxf>
      <font>
        <name val="Aptos"/>
        <charset val="1"/>
        <family val="0"/>
        <b val="1"/>
        <color rgb="FF9C0006"/>
        <sz val="10"/>
      </font>
      <fill>
        <patternFill>
          <bgColor rgb="FFF8D7DA"/>
        </patternFill>
      </fill>
    </dxf>
    <dxf>
      <fill>
        <patternFill>
          <bgColor rgb="FFEFF6EC"/>
        </patternFill>
      </fill>
    </dxf>
    <dxf>
      <fill>
        <patternFill>
          <bgColor rgb="FFFFE8B3"/>
        </patternFill>
      </fill>
    </dxf>
    <dxf>
      <fill>
        <patternFill patternType="solid">
          <fgColor rgb="FF2E6B3A"/>
          <bgColor rgb="FF000000"/>
        </patternFill>
      </fill>
    </dxf>
    <dxf>
      <fill>
        <patternFill patternType="solid">
          <fgColor rgb="FFFAFAFA"/>
          <bgColor rgb="FF000000"/>
        </patternFill>
      </fill>
    </dxf>
    <dxf>
      <fill>
        <patternFill patternType="solid">
          <bgColor rgb="FF000000"/>
        </patternFill>
      </fill>
    </dxf>
    <dxf>
      <fill>
        <patternFill patternType="solid">
          <fgColor rgb="FF0000FF"/>
          <bgColor rgb="FF000000"/>
        </patternFill>
      </fill>
    </dxf>
    <dxf>
      <fill>
        <patternFill patternType="solid">
          <fgColor rgb="FF595959"/>
          <bgColor rgb="FF000000"/>
        </patternFill>
      </fill>
    </dxf>
    <dxf>
      <fill>
        <patternFill patternType="solid">
          <fgColor rgb="FFFFFFFF"/>
          <bgColor rgb="FF000000"/>
        </patternFill>
      </fill>
    </dxf>
    <dxf>
      <fill>
        <patternFill patternType="solid">
          <fgColor rgb="FF1E4D2B"/>
          <bgColor rgb="FF000000"/>
        </patternFill>
      </fill>
    </dxf>
    <dxf>
      <fill>
        <patternFill patternType="solid">
          <fgColor rgb="FFEFF6EC"/>
          <bgColor rgb="FF000000"/>
        </patternFill>
      </fill>
    </dxf>
    <dxf>
      <font>
        <name val="Aptos"/>
        <charset val="1"/>
        <family val="0"/>
        <i val="1"/>
        <color rgb="FF7F7F7F"/>
        <sz val="10"/>
      </font>
      <fill>
        <patternFill>
          <bgColor rgb="FFD9D9D9"/>
        </patternFill>
      </fill>
    </dxf>
    <dxf>
      <font>
        <name val="Aptos"/>
        <charset val="1"/>
        <family val="0"/>
        <b val="1"/>
        <color rgb="FFFFFFFF"/>
        <sz val="10"/>
      </font>
      <fill>
        <patternFill>
          <bgColor rgb="FFC00000"/>
        </patternFill>
      </fill>
    </dxf>
    <dxf>
      <font>
        <name val="Aptos"/>
        <charset val="1"/>
        <family val="0"/>
        <b val="1"/>
        <color rgb="FF7F4F00"/>
        <sz val="10"/>
      </font>
      <fill>
        <patternFill>
          <bgColor rgb="FFFFE8B3"/>
        </patternFill>
      </fill>
    </dxf>
    <dxf>
      <font>
        <name val="Aptos"/>
        <charset val="1"/>
        <family val="0"/>
        <b val="1"/>
        <color rgb="FF275317"/>
        <sz val="10"/>
      </font>
      <fill>
        <patternFill>
          <bgColor rgb="FFD9EAD3"/>
        </patternFill>
      </fill>
    </dxf>
    <dxf>
      <fill>
        <patternFill>
          <bgColor rgb="FFD9EAD3"/>
        </patternFill>
      </fill>
    </dxf>
    <dxf>
      <font>
        <name val="Aptos"/>
        <charset val="1"/>
        <family val="0"/>
        <color rgb="FF7F7F7F"/>
        <sz val="10"/>
      </font>
      <fill>
        <patternFill>
          <bgColor rgb="FFEFEFEF"/>
        </patternFill>
      </fill>
    </dxf>
    <dxf>
      <fill>
        <patternFill patternType="solid">
          <fgColor rgb="FFD9D9D9"/>
          <bgColor rgb="FF000000"/>
        </patternFill>
      </fill>
    </dxf>
    <dxf>
      <fill>
        <patternFill patternType="solid">
          <fgColor rgb="FF7F7F7F"/>
          <bgColor rgb="FF000000"/>
        </patternFill>
      </fill>
    </dxf>
    <dxf>
      <fill>
        <patternFill patternType="solid">
          <fgColor rgb="FFFFE8B3"/>
          <bgColor rgb="FF000000"/>
        </patternFill>
      </fill>
    </dxf>
    <dxf>
      <fill>
        <patternFill patternType="solid">
          <fgColor rgb="FFF8D7DA"/>
          <bgColor rgb="FF000000"/>
        </patternFill>
      </fill>
    </dxf>
    <dxf>
      <fill>
        <patternFill patternType="solid">
          <fgColor rgb="FF9C0006"/>
          <bgColor rgb="FF000000"/>
        </patternFill>
      </fill>
    </dxf>
    <dxf>
      <fill>
        <patternFill patternType="solid">
          <fgColor rgb="FFC00000"/>
          <bgColor rgb="FF000000"/>
        </patternFill>
      </fill>
    </dxf>
    <dxf>
      <fill>
        <patternFill patternType="solid">
          <fgColor rgb="FFD9EAD3"/>
          <bgColor rgb="FF000000"/>
        </patternFill>
      </fill>
    </dxf>
    <dxf>
      <fill>
        <patternFill patternType="solid">
          <fgColor rgb="FF275317"/>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7F7F7F"/>
      <rgbColor rgb="FFDCEBD6"/>
      <rgbColor rgb="FF993366"/>
      <rgbColor rgb="FFFAFAFA"/>
      <rgbColor rgb="FFEFEFEF"/>
      <rgbColor rgb="FF660066"/>
      <rgbColor rgb="FFFF8080"/>
      <rgbColor rgb="FF0066CC"/>
      <rgbColor rgb="FFD9D9D9"/>
      <rgbColor rgb="FF000080"/>
      <rgbColor rgb="FFFF00FF"/>
      <rgbColor rgb="FFFFFF00"/>
      <rgbColor rgb="FF00FFFF"/>
      <rgbColor rgb="FF800080"/>
      <rgbColor rgb="FFC00000"/>
      <rgbColor rgb="FF008080"/>
      <rgbColor rgb="FF0000FF"/>
      <rgbColor rgb="FF00CCFF"/>
      <rgbColor rgb="FFEFF6EC"/>
      <rgbColor rgb="FFD9EAD3"/>
      <rgbColor rgb="FFFFE8B3"/>
      <rgbColor rgb="FFB5D3AE"/>
      <rgbColor rgb="FFF8D7DA"/>
      <rgbColor rgb="FF8FBF88"/>
      <rgbColor rgb="FFF4B6BC"/>
      <rgbColor rgb="FF3366FF"/>
      <rgbColor rgb="FF33CCCC"/>
      <rgbColor rgb="FF99CC00"/>
      <rgbColor rgb="FFFFCC00"/>
      <rgbColor rgb="FFFF9900"/>
      <rgbColor rgb="FFFF6600"/>
      <rgbColor rgb="FF2E6B3A"/>
      <rgbColor rgb="FF878787"/>
      <rgbColor rgb="FF003366"/>
      <rgbColor rgb="FF339966"/>
      <rgbColor rgb="FF003300"/>
      <rgbColor rgb="FF275317"/>
      <rgbColor rgb="FF7F4F00"/>
      <rgbColor rgb="FF993366"/>
      <rgbColor rgb="FF1E4D2B"/>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Value won by month (£)</a:t>
            </a:r>
          </a:p>
        </c:rich>
      </c:tx>
      <c:overlay val="0"/>
      <c:spPr>
        <a:noFill/>
        <a:ln w="0">
          <a:noFill/>
        </a:ln>
      </c:spPr>
    </c:title>
    <c:autoTitleDeleted val="0"/>
    <c:plotArea>
      <c:barChart>
        <c:barDir val="col"/>
        <c:grouping val="stacked"/>
        <c:varyColors val="0"/>
        <c:ser>
          <c:idx val="0"/>
          <c:order val="0"/>
          <c:tx>
            <c:strRef>
              <c:f>Results!G7</c:f>
              <c:strCache>
                <c:ptCount val="1"/>
                <c:pt idx="0">
                  <c:v>Quote value won (£)</c:v>
                </c:pt>
              </c:strCache>
            </c:strRef>
          </c:tx>
          <c:spPr>
            <a:solidFill>
              <a:srgbClr val="2E6B3A"/>
            </a:solidFill>
            <a:ln w="0">
              <a:solidFill>
                <a:srgbClr val="2E6B3A"/>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Results!$A$8:$A$19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Results!$G$8:$G$19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ser>
          <c:idx val="1"/>
          <c:order val="1"/>
          <c:tx>
            <c:strRef>
              <c:f>Results!L7</c:f>
              <c:strCache>
                <c:ptCount val="1"/>
                <c:pt idx="0">
                  <c:v>Tender value won (£)</c:v>
                </c:pt>
              </c:strCache>
            </c:strRef>
          </c:tx>
          <c:spPr>
            <a:solidFill>
              <a:srgbClr val="8FBF88"/>
            </a:solidFill>
            <a:ln w="0">
              <a:solidFill>
                <a:srgbClr val="8FBF88"/>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Results!$A$8:$A$19</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Results!$L$8:$L$19</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er>
        <c:gapWidth val="150"/>
        <c:overlap val="100"/>
        <c:axId val="5088095"/>
        <c:axId val="15011620"/>
      </c:barChart>
      <c:catAx>
        <c:axId val="508809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011620"/>
        <c:crosses val="autoZero"/>
        <c:auto val="1"/>
        <c:lblAlgn val="ctr"/>
        <c:lblOffset val="100"/>
        <c:noMultiLvlLbl val="0"/>
      </c:catAx>
      <c:valAx>
        <c:axId val="15011620"/>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8809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4.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21</xdr:row>
      <xdr:rowOff>101160</xdr:rowOff>
    </xdr:from>
    <xdr:to>
      <xdr:col>12</xdr:col>
      <xdr:colOff>337680</xdr:colOff>
      <xdr:row>35</xdr:row>
      <xdr:rowOff>133560</xdr:rowOff>
    </xdr:to>
    <xdr:graphicFrame>
      <xdr:nvGraphicFramePr>
        <xdr:cNvPr id="0" name="Chart 1"/>
        <xdr:cNvGraphicFramePr/>
      </xdr:nvGraphicFramePr>
      <xdr:xfrm>
        <a:off x="0" y="4772160"/>
        <a:ext cx="935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5.xml"/><Relationship Id="rId3" Type="http://schemas.openxmlformats.org/officeDocument/2006/relationships/vmlDrawing" Target="../drawings/vmlDrawing4.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3" min="3" style="0" width="92"/>
  </cols>
  <sheetData>
    <row r="1" customFormat="false" ht="15" hidden="false" customHeight="false" outlineLevel="0" collapsed="false">
      <c r="B1" s="1" t="s">
        <v>0</v>
      </c>
    </row>
    <row r="2" customFormat="false" ht="24.45" hidden="false" customHeight="false" outlineLevel="0" collapsed="false">
      <c r="B2" s="2" t="s">
        <v>1</v>
      </c>
    </row>
    <row r="3" customFormat="false" ht="15" hidden="false" customHeight="false" outlineLevel="0" collapsed="false">
      <c r="B3" s="3" t="s">
        <v>2</v>
      </c>
    </row>
    <row r="5" customFormat="false" ht="21.75" hidden="false" customHeight="true" outlineLevel="0" collapsed="false">
      <c r="B5" s="4" t="s">
        <v>3</v>
      </c>
      <c r="C5" s="5"/>
    </row>
    <row r="6" customFormat="false" ht="18" hidden="false" customHeight="true" outlineLevel="0" collapsed="false">
      <c r="B6" s="6" t="s">
        <v>4</v>
      </c>
      <c r="C6" s="7" t="s">
        <v>5</v>
      </c>
    </row>
    <row r="7" customFormat="false" ht="18" hidden="false" customHeight="true" outlineLevel="0" collapsed="false">
      <c r="B7" s="6" t="s">
        <v>6</v>
      </c>
      <c r="C7" s="7" t="s">
        <v>7</v>
      </c>
    </row>
    <row r="8" customFormat="false" ht="18" hidden="false" customHeight="true" outlineLevel="0" collapsed="false">
      <c r="B8" s="6" t="s">
        <v>8</v>
      </c>
      <c r="C8" s="7" t="s">
        <v>9</v>
      </c>
    </row>
    <row r="9" customFormat="false" ht="18" hidden="false" customHeight="true" outlineLevel="0" collapsed="false">
      <c r="B9" s="6" t="s">
        <v>10</v>
      </c>
      <c r="C9" s="7" t="s">
        <v>11</v>
      </c>
    </row>
    <row r="10" customFormat="false" ht="33" hidden="false" customHeight="true" outlineLevel="0" collapsed="false">
      <c r="B10" s="6" t="s">
        <v>12</v>
      </c>
      <c r="C10" s="7" t="s">
        <v>13</v>
      </c>
    </row>
    <row r="11" customFormat="false" ht="21.75" hidden="false" customHeight="true" outlineLevel="0" collapsed="false">
      <c r="B11" s="4" t="s">
        <v>14</v>
      </c>
      <c r="C11" s="5"/>
    </row>
    <row r="12" customFormat="false" ht="62" hidden="false" customHeight="true" outlineLevel="0" collapsed="false">
      <c r="B12" s="8" t="s">
        <v>15</v>
      </c>
      <c r="C12" s="7" t="s">
        <v>16</v>
      </c>
    </row>
    <row r="13" customFormat="false" ht="33" hidden="false" customHeight="true" outlineLevel="0" collapsed="false">
      <c r="B13" s="8" t="s">
        <v>17</v>
      </c>
      <c r="C13" s="7" t="s">
        <v>18</v>
      </c>
    </row>
    <row r="14" customFormat="false" ht="33" hidden="false" customHeight="true" outlineLevel="0" collapsed="false">
      <c r="B14" s="8" t="s">
        <v>19</v>
      </c>
      <c r="C14" s="7" t="s">
        <v>20</v>
      </c>
    </row>
    <row r="15" customFormat="false" ht="33" hidden="false" customHeight="true" outlineLevel="0" collapsed="false">
      <c r="B15" s="8" t="s">
        <v>21</v>
      </c>
      <c r="C15" s="7" t="s">
        <v>22</v>
      </c>
    </row>
    <row r="16" customFormat="false" ht="33" hidden="false" customHeight="true" outlineLevel="0" collapsed="false">
      <c r="B16" s="8" t="s">
        <v>23</v>
      </c>
      <c r="C16" s="7" t="s">
        <v>24</v>
      </c>
    </row>
    <row r="17" customFormat="false" ht="21.75" hidden="false" customHeight="true" outlineLevel="0" collapsed="false">
      <c r="B17" s="9" t="s">
        <v>25</v>
      </c>
      <c r="C17" s="10"/>
    </row>
    <row r="18" customFormat="false" ht="18" hidden="false" customHeight="true" outlineLevel="0" collapsed="false">
      <c r="B18" s="11" t="s">
        <v>26</v>
      </c>
      <c r="C18" s="12" t="s">
        <v>27</v>
      </c>
    </row>
    <row r="19" customFormat="false" ht="18" hidden="false" customHeight="true" outlineLevel="0" collapsed="false">
      <c r="B19" s="13" t="s">
        <v>28</v>
      </c>
      <c r="C19" s="7" t="s">
        <v>29</v>
      </c>
    </row>
    <row r="20" customFormat="false" ht="18" hidden="false" customHeight="true" outlineLevel="0" collapsed="false">
      <c r="B20" s="13" t="s">
        <v>30</v>
      </c>
      <c r="C20" s="7" t="s">
        <v>31</v>
      </c>
    </row>
    <row r="21" customFormat="false" ht="18" hidden="false" customHeight="true" outlineLevel="0" collapsed="false">
      <c r="B21" s="13" t="s">
        <v>32</v>
      </c>
      <c r="C21" s="7" t="s">
        <v>33</v>
      </c>
    </row>
    <row r="22" customFormat="false" ht="33" hidden="false" customHeight="true" outlineLevel="0" collapsed="false">
      <c r="B22" s="6" t="s">
        <v>34</v>
      </c>
      <c r="C22" s="7" t="s">
        <v>35</v>
      </c>
    </row>
    <row r="23" customFormat="false" ht="21.75" hidden="false" customHeight="true" outlineLevel="0" collapsed="false">
      <c r="B23" s="4" t="s">
        <v>36</v>
      </c>
      <c r="C23" s="5"/>
    </row>
    <row r="24" customFormat="false" ht="18" hidden="false" customHeight="true" outlineLevel="0" collapsed="false">
      <c r="B24" s="6" t="s">
        <v>37</v>
      </c>
      <c r="C24" s="7" t="s">
        <v>38</v>
      </c>
    </row>
    <row r="25" customFormat="false" ht="18" hidden="false" customHeight="true" outlineLevel="0" collapsed="false">
      <c r="B25" s="6" t="s">
        <v>39</v>
      </c>
      <c r="C25" s="7" t="s">
        <v>40</v>
      </c>
    </row>
    <row r="26" customFormat="false" ht="33" hidden="false" customHeight="true" outlineLevel="0" collapsed="false">
      <c r="B26" s="6" t="s">
        <v>41</v>
      </c>
      <c r="C26" s="7" t="s">
        <v>42</v>
      </c>
    </row>
    <row r="27" customFormat="false" ht="18" hidden="false" customHeight="true" outlineLevel="0" collapsed="false">
      <c r="B27" s="6" t="s">
        <v>43</v>
      </c>
      <c r="C27" s="7" t="s">
        <v>44</v>
      </c>
    </row>
    <row r="28" customFormat="false" ht="18" hidden="false" customHeight="true" outlineLevel="0" collapsed="false">
      <c r="B28" s="6" t="s">
        <v>45</v>
      </c>
      <c r="C28" s="7" t="s">
        <v>46</v>
      </c>
    </row>
    <row r="29" customFormat="false" ht="21.75" hidden="false" customHeight="true" outlineLevel="0" collapsed="false">
      <c r="B29" s="4" t="s">
        <v>47</v>
      </c>
      <c r="C29" s="5"/>
    </row>
    <row r="30" customFormat="false" ht="33" hidden="false" customHeight="true" outlineLevel="0" collapsed="false">
      <c r="B30" s="6" t="s">
        <v>48</v>
      </c>
      <c r="C30" s="7" t="s">
        <v>49</v>
      </c>
    </row>
    <row r="31" customFormat="false" ht="33" hidden="false" customHeight="true" outlineLevel="0" collapsed="false">
      <c r="B31" s="6" t="s">
        <v>50</v>
      </c>
      <c r="C31" s="7" t="s">
        <v>51</v>
      </c>
    </row>
    <row r="32" customFormat="false" ht="33" hidden="false" customHeight="true" outlineLevel="0" collapsed="false">
      <c r="B32" s="8" t="s">
        <v>52</v>
      </c>
      <c r="C32" s="7" t="s">
        <v>53</v>
      </c>
    </row>
    <row r="33" customFormat="false" ht="63" hidden="false" customHeight="true" outlineLevel="0" collapsed="false">
      <c r="B33" s="6" t="s">
        <v>54</v>
      </c>
      <c r="C33" s="7" t="s">
        <v>55</v>
      </c>
    </row>
    <row r="34" customFormat="false" ht="33" hidden="false" customHeight="true" outlineLevel="0" collapsed="false">
      <c r="B34" s="6" t="s">
        <v>56</v>
      </c>
      <c r="C34" s="7" t="s">
        <v>57</v>
      </c>
    </row>
    <row r="35" customFormat="false" ht="33" hidden="false" customHeight="true" outlineLevel="0" collapsed="false">
      <c r="B35" s="6" t="s">
        <v>58</v>
      </c>
      <c r="C35" s="7" t="s">
        <v>59</v>
      </c>
    </row>
    <row r="37" customFormat="false" ht="15" hidden="false" customHeight="false" outlineLevel="0" collapsed="false">
      <c r="B37" s="14" t="s">
        <v>60</v>
      </c>
    </row>
  </sheetData>
  <hyperlinks>
    <hyperlink ref="B12" location="'Lists'!A1" display="1   Set it up  (20 min)"/>
    <hyperlink ref="B13" location="'Leads'!A1" display="2   Add your leads  (2 min each)"/>
    <hyperlink ref="B14" location="'Quotes'!A1" display="3   Log quotes and tenders"/>
    <hyperlink ref="B15" location="'Today'!A1" display="4   Open Today first thing  (5 min)"/>
    <hyperlink ref="B16" location="'Results'!A1" display="5   Close the loop"/>
    <hyperlink ref="B19" location="'Today'!A1" display="Minutes 0–5"/>
    <hyperlink ref="B20" location="'Tenders'!A1" display="Minutes 5–10"/>
    <hyperlink ref="B21" location="'Leads'!A1" display="Minutes 10–15"/>
    <hyperlink ref="B32" location="'Do not contact'!A1" display="Suppression list"/>
  </hyperlinks>
  <printOptions headings="false" gridLines="false" gridLinesSet="true" horizontalCentered="false" verticalCentered="false"/>
  <pageMargins left="0.4" right="0.4"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3"/>
    <col collapsed="false" customWidth="true" hidden="false" outlineLevel="0" max="3" min="3" style="0" width="9"/>
    <col collapsed="false" customWidth="true" hidden="false" outlineLevel="0" max="4" min="4" style="0" width="26"/>
    <col collapsed="false" customWidth="true" hidden="false" outlineLevel="0" max="5" min="5" style="0" width="20"/>
    <col collapsed="false" customWidth="true" hidden="false" outlineLevel="0" max="6" min="6" style="0" width="15"/>
    <col collapsed="false" customWidth="true" hidden="false" outlineLevel="0" max="7" min="7" style="0" width="38"/>
    <col collapsed="false" customWidth="true" hidden="false" outlineLevel="0" max="8" min="8" style="0" width="16"/>
    <col collapsed="false" customWidth="true" hidden="true" outlineLevel="0" max="10" min="10" style="0" width="13"/>
  </cols>
  <sheetData>
    <row r="1" customFormat="false" ht="22.05" hidden="false" customHeight="false" outlineLevel="0" collapsed="false">
      <c r="A1" s="15" t="str">
        <f>'Start here'!$B$1&amp;" – TODAY"</f>
        <v>[COMPANY NAME] – TODAY</v>
      </c>
    </row>
    <row r="2" customFormat="false" ht="15" hidden="false" customHeight="false" outlineLevel="0" collapsed="false">
      <c r="A2" s="16" t="str">
        <f aca="true">"Updated automatically · "&amp;TEXT(TODAY(),"dddd d mmmm yyyy")&amp;" · Nothing to type on this tab – it reads Leads, Tenders and Quotes."</f>
        <v>Updated automatically · Monday 5 October 2026 · Nothing to type on this tab – it reads Leads, Tenders and Quotes.</v>
      </c>
    </row>
    <row r="4" customFormat="false" ht="21.75" hidden="false" customHeight="true" outlineLevel="0" collapsed="false">
      <c r="A4" s="4" t="s">
        <v>62</v>
      </c>
      <c r="B4" s="5"/>
      <c r="C4" s="5"/>
      <c r="D4" s="5"/>
      <c r="E4" s="5"/>
      <c r="F4" s="5"/>
      <c r="G4" s="5"/>
      <c r="H4" s="5"/>
    </row>
    <row r="5" customFormat="false" ht="24" hidden="false" customHeight="true" outlineLevel="0" collapsed="false">
      <c r="A5" s="17" t="str">
        <f aca="true">IF((COUNTIFS(Leads!$V$6:$V$305,"&lt;"&amp;TODAY()))+(COUNTIFS(Leads!$V$6:$V$305,"&gt;="&amp;TODAY(),Leads!$V$6:$V$305,"&lt;"&amp;(TODAY()+1)))&gt;0,"1.  Do "&amp;((COUNTIFS(Leads!$V$6:$V$305,"&lt;"&amp;TODAY()))+(COUNTIFS(Leads!$V$6:$V$305,"&gt;="&amp;TODAY(),Leads!$V$6:$V$305,"&lt;"&amp;(TODAY()+1))))&amp;" follow-up(s) in the red list below. Start at the top – one call or email, then update the Leads tab.","1.  No follow-ups due today. Add 3 new leads to the Leads tab instead.")</f>
        <v>1.  No follow-ups due today. Add 3 new leads to the Leads tab instead.</v>
      </c>
      <c r="B5" s="17"/>
      <c r="C5" s="17"/>
      <c r="D5" s="17"/>
      <c r="E5" s="17"/>
      <c r="F5" s="17"/>
      <c r="G5" s="17"/>
      <c r="H5" s="17"/>
    </row>
    <row r="6" customFormat="false" ht="24" hidden="false" customHeight="true" outlineLevel="0" collapsed="false">
      <c r="A6" s="17" t="str">
        <f aca="false">IF(COUNT(Tenders!$R$6:$R$105)&gt;0,"2.  "&amp;COUNT(Tenders!$R$6:$R$105)&amp;" tender(s) close in the next "&amp;Lists!$N$4&amp;" days. Check the next step for each one.","2.  No tenders closing soon. Look at your portals for new ones (10 minutes).")</f>
        <v>2.  No tenders closing soon. Look at your portals for new ones (10 minutes).</v>
      </c>
      <c r="B6" s="17"/>
      <c r="C6" s="17"/>
      <c r="D6" s="17"/>
      <c r="E6" s="17"/>
      <c r="F6" s="17"/>
      <c r="G6" s="17"/>
      <c r="H6" s="17"/>
    </row>
    <row r="7" customFormat="false" ht="24" hidden="false" customHeight="true" outlineLevel="0" collapsed="false">
      <c r="A7" s="17" t="str">
        <f aca="false">IF(COUNT(Quotes!$O$6:$O$305)&gt;0,"3.  Chase "&amp;COUNT(Quotes!$O$6:$O$305)&amp;" quote(s) waiting more than "&amp;Lists!$N$6&amp;" days. A friendly check-in is enough.","3.  No quotes waiting. Nice work.")</f>
        <v>3.  No quotes waiting. Nice work.</v>
      </c>
      <c r="B7" s="17"/>
      <c r="C7" s="17"/>
      <c r="D7" s="17"/>
      <c r="E7" s="17"/>
      <c r="F7" s="17"/>
      <c r="G7" s="17"/>
      <c r="H7" s="17"/>
    </row>
    <row r="9" customFormat="false" ht="15" hidden="false" customHeight="true" outlineLevel="0" collapsed="false">
      <c r="A9" s="18" t="s">
        <v>63</v>
      </c>
      <c r="B9" s="18"/>
      <c r="C9" s="18" t="s">
        <v>64</v>
      </c>
      <c r="D9" s="18"/>
      <c r="E9" s="18" t="s">
        <v>65</v>
      </c>
      <c r="F9" s="18"/>
      <c r="G9" s="18" t="s">
        <v>66</v>
      </c>
      <c r="H9" s="18"/>
    </row>
    <row r="10" customFormat="false" ht="33.75" hidden="false" customHeight="true" outlineLevel="0" collapsed="false">
      <c r="A10" s="19" t="n">
        <f aca="true">COUNTIFS(Leads!$V$6:$V$305,"&lt;"&amp;TODAY())</f>
        <v>0</v>
      </c>
      <c r="B10" s="19"/>
      <c r="C10" s="19" t="n">
        <f aca="true">COUNTIFS(Leads!$V$6:$V$305,"&gt;="&amp;TODAY(),Leads!$V$6:$V$305,"&lt;"&amp;(TODAY()+1))</f>
        <v>0</v>
      </c>
      <c r="D10" s="19"/>
      <c r="E10" s="19" t="n">
        <f aca="false">COUNT(Tenders!$R$6:$R$105)</f>
        <v>0</v>
      </c>
      <c r="F10" s="19"/>
      <c r="G10" s="19" t="n">
        <f aca="false">COUNT(Quotes!$O$6:$O$305)</f>
        <v>0</v>
      </c>
      <c r="H10" s="19"/>
    </row>
    <row r="12" customFormat="false" ht="21.75" hidden="false" customHeight="true" outlineLevel="0" collapsed="false">
      <c r="A12" s="4" t="s">
        <v>67</v>
      </c>
      <c r="B12" s="5"/>
      <c r="C12" s="5"/>
      <c r="D12" s="5"/>
      <c r="E12" s="5"/>
      <c r="F12" s="5"/>
      <c r="G12" s="5"/>
      <c r="H12" s="5"/>
    </row>
    <row r="13" customFormat="false" ht="15" hidden="false" customHeight="false" outlineLevel="0" collapsed="false">
      <c r="A13" s="20" t="s">
        <v>68</v>
      </c>
      <c r="B13" s="20" t="s">
        <v>69</v>
      </c>
      <c r="C13" s="20" t="s">
        <v>70</v>
      </c>
      <c r="D13" s="20" t="s">
        <v>71</v>
      </c>
      <c r="E13" s="20" t="s">
        <v>72</v>
      </c>
      <c r="F13" s="20" t="s">
        <v>73</v>
      </c>
      <c r="G13" s="20" t="s">
        <v>74</v>
      </c>
      <c r="H13" s="20" t="s">
        <v>75</v>
      </c>
    </row>
    <row r="14" customFormat="false" ht="25.5" hidden="false" customHeight="true" outlineLevel="0" collapsed="false">
      <c r="A14" s="21" t="str">
        <f aca="false">IF($J14="","",INDEX(Leads!$R$6:$R$305,$J14))</f>
        <v/>
      </c>
      <c r="B14" s="22" t="str">
        <f aca="true">IF($J14="","",IF(TODAY()-A14=0,"Due today",IF(TODAY()-A14=1,"1 day",TODAY()-A14&amp;" days")))</f>
        <v/>
      </c>
      <c r="C14" s="22" t="str">
        <f aca="false">IF($J14="","",INDEX(Leads!$A$6:$A$305,$J14)&amp;"")</f>
        <v/>
      </c>
      <c r="D14" s="23" t="str">
        <f aca="false">IF($J14="","",INDEX(Leads!$C$6:$C$305,$J14)&amp;"")</f>
        <v/>
      </c>
      <c r="E14" s="23" t="str">
        <f aca="false">IF($J14="","",INDEX(Leads!$E$6:$E$305,$J14)&amp;"")</f>
        <v/>
      </c>
      <c r="F14" s="24" t="str">
        <f aca="false">IF($J14="","",INDEX(Leads!$H$6:$H$305,$J14)&amp;"")</f>
        <v/>
      </c>
      <c r="G14" s="23" t="str">
        <f aca="false">IF($J14="","",IF(INDEX(Leads!$P$6:$P$305,$J14)&amp;""="","Decide the next step",INDEX(Leads!$P$6:$P$305,$J14)&amp;""))</f>
        <v/>
      </c>
      <c r="H14" s="23" t="str">
        <f aca="false">IF($J14="","",IF(INDEX(Leads!$N$6:$N$305,$J14)&amp;""="","New",INDEX(Leads!$N$6:$N$305,$J14)&amp;""))</f>
        <v/>
      </c>
      <c r="J14" s="0" t="str">
        <f aca="false">IFERROR(MATCH(SMALL(Leads!$V$6:$V$305,1),Leads!$V$6:$V$305,0),"")</f>
        <v/>
      </c>
    </row>
    <row r="15" customFormat="false" ht="25.5" hidden="false" customHeight="true" outlineLevel="0" collapsed="false">
      <c r="A15" s="21" t="str">
        <f aca="false">IF($J15="","",INDEX(Leads!$R$6:$R$305,$J15))</f>
        <v/>
      </c>
      <c r="B15" s="22" t="str">
        <f aca="true">IF($J15="","",IF(TODAY()-A15=0,"Due today",IF(TODAY()-A15=1,"1 day",TODAY()-A15&amp;" days")))</f>
        <v/>
      </c>
      <c r="C15" s="22" t="str">
        <f aca="false">IF($J15="","",INDEX(Leads!$A$6:$A$305,$J15)&amp;"")</f>
        <v/>
      </c>
      <c r="D15" s="23" t="str">
        <f aca="false">IF($J15="","",INDEX(Leads!$C$6:$C$305,$J15)&amp;"")</f>
        <v/>
      </c>
      <c r="E15" s="23" t="str">
        <f aca="false">IF($J15="","",INDEX(Leads!$E$6:$E$305,$J15)&amp;"")</f>
        <v/>
      </c>
      <c r="F15" s="24" t="str">
        <f aca="false">IF($J15="","",INDEX(Leads!$H$6:$H$305,$J15)&amp;"")</f>
        <v/>
      </c>
      <c r="G15" s="23" t="str">
        <f aca="false">IF($J15="","",IF(INDEX(Leads!$P$6:$P$305,$J15)&amp;""="","Decide the next step",INDEX(Leads!$P$6:$P$305,$J15)&amp;""))</f>
        <v/>
      </c>
      <c r="H15" s="23" t="str">
        <f aca="false">IF($J15="","",IF(INDEX(Leads!$N$6:$N$305,$J15)&amp;""="","New",INDEX(Leads!$N$6:$N$305,$J15)&amp;""))</f>
        <v/>
      </c>
      <c r="J15" s="0" t="str">
        <f aca="false">IFERROR(MATCH(SMALL(Leads!$V$6:$V$305,2),Leads!$V$6:$V$305,0),"")</f>
        <v/>
      </c>
    </row>
    <row r="16" customFormat="false" ht="25.5" hidden="false" customHeight="true" outlineLevel="0" collapsed="false">
      <c r="A16" s="21" t="str">
        <f aca="false">IF($J16="","",INDEX(Leads!$R$6:$R$305,$J16))</f>
        <v/>
      </c>
      <c r="B16" s="22" t="str">
        <f aca="true">IF($J16="","",IF(TODAY()-A16=0,"Due today",IF(TODAY()-A16=1,"1 day",TODAY()-A16&amp;" days")))</f>
        <v/>
      </c>
      <c r="C16" s="22" t="str">
        <f aca="false">IF($J16="","",INDEX(Leads!$A$6:$A$305,$J16)&amp;"")</f>
        <v/>
      </c>
      <c r="D16" s="23" t="str">
        <f aca="false">IF($J16="","",INDEX(Leads!$C$6:$C$305,$J16)&amp;"")</f>
        <v/>
      </c>
      <c r="E16" s="23" t="str">
        <f aca="false">IF($J16="","",INDEX(Leads!$E$6:$E$305,$J16)&amp;"")</f>
        <v/>
      </c>
      <c r="F16" s="24" t="str">
        <f aca="false">IF($J16="","",INDEX(Leads!$H$6:$H$305,$J16)&amp;"")</f>
        <v/>
      </c>
      <c r="G16" s="23" t="str">
        <f aca="false">IF($J16="","",IF(INDEX(Leads!$P$6:$P$305,$J16)&amp;""="","Decide the next step",INDEX(Leads!$P$6:$P$305,$J16)&amp;""))</f>
        <v/>
      </c>
      <c r="H16" s="23" t="str">
        <f aca="false">IF($J16="","",IF(INDEX(Leads!$N$6:$N$305,$J16)&amp;""="","New",INDEX(Leads!$N$6:$N$305,$J16)&amp;""))</f>
        <v/>
      </c>
      <c r="J16" s="0" t="str">
        <f aca="false">IFERROR(MATCH(SMALL(Leads!$V$6:$V$305,3),Leads!$V$6:$V$305,0),"")</f>
        <v/>
      </c>
    </row>
    <row r="17" customFormat="false" ht="25.5" hidden="false" customHeight="true" outlineLevel="0" collapsed="false">
      <c r="A17" s="21" t="str">
        <f aca="false">IF($J17="","",INDEX(Leads!$R$6:$R$305,$J17))</f>
        <v/>
      </c>
      <c r="B17" s="22" t="str">
        <f aca="true">IF($J17="","",IF(TODAY()-A17=0,"Due today",IF(TODAY()-A17=1,"1 day",TODAY()-A17&amp;" days")))</f>
        <v/>
      </c>
      <c r="C17" s="22" t="str">
        <f aca="false">IF($J17="","",INDEX(Leads!$A$6:$A$305,$J17)&amp;"")</f>
        <v/>
      </c>
      <c r="D17" s="23" t="str">
        <f aca="false">IF($J17="","",INDEX(Leads!$C$6:$C$305,$J17)&amp;"")</f>
        <v/>
      </c>
      <c r="E17" s="23" t="str">
        <f aca="false">IF($J17="","",INDEX(Leads!$E$6:$E$305,$J17)&amp;"")</f>
        <v/>
      </c>
      <c r="F17" s="24" t="str">
        <f aca="false">IF($J17="","",INDEX(Leads!$H$6:$H$305,$J17)&amp;"")</f>
        <v/>
      </c>
      <c r="G17" s="23" t="str">
        <f aca="false">IF($J17="","",IF(INDEX(Leads!$P$6:$P$305,$J17)&amp;""="","Decide the next step",INDEX(Leads!$P$6:$P$305,$J17)&amp;""))</f>
        <v/>
      </c>
      <c r="H17" s="23" t="str">
        <f aca="false">IF($J17="","",IF(INDEX(Leads!$N$6:$N$305,$J17)&amp;""="","New",INDEX(Leads!$N$6:$N$305,$J17)&amp;""))</f>
        <v/>
      </c>
      <c r="J17" s="0" t="str">
        <f aca="false">IFERROR(MATCH(SMALL(Leads!$V$6:$V$305,4),Leads!$V$6:$V$305,0),"")</f>
        <v/>
      </c>
    </row>
    <row r="18" customFormat="false" ht="25.5" hidden="false" customHeight="true" outlineLevel="0" collapsed="false">
      <c r="A18" s="21" t="str">
        <f aca="false">IF($J18="","",INDEX(Leads!$R$6:$R$305,$J18))</f>
        <v/>
      </c>
      <c r="B18" s="22" t="str">
        <f aca="true">IF($J18="","",IF(TODAY()-A18=0,"Due today",IF(TODAY()-A18=1,"1 day",TODAY()-A18&amp;" days")))</f>
        <v/>
      </c>
      <c r="C18" s="22" t="str">
        <f aca="false">IF($J18="","",INDEX(Leads!$A$6:$A$305,$J18)&amp;"")</f>
        <v/>
      </c>
      <c r="D18" s="23" t="str">
        <f aca="false">IF($J18="","",INDEX(Leads!$C$6:$C$305,$J18)&amp;"")</f>
        <v/>
      </c>
      <c r="E18" s="23" t="str">
        <f aca="false">IF($J18="","",INDEX(Leads!$E$6:$E$305,$J18)&amp;"")</f>
        <v/>
      </c>
      <c r="F18" s="24" t="str">
        <f aca="false">IF($J18="","",INDEX(Leads!$H$6:$H$305,$J18)&amp;"")</f>
        <v/>
      </c>
      <c r="G18" s="23" t="str">
        <f aca="false">IF($J18="","",IF(INDEX(Leads!$P$6:$P$305,$J18)&amp;""="","Decide the next step",INDEX(Leads!$P$6:$P$305,$J18)&amp;""))</f>
        <v/>
      </c>
      <c r="H18" s="23" t="str">
        <f aca="false">IF($J18="","",IF(INDEX(Leads!$N$6:$N$305,$J18)&amp;""="","New",INDEX(Leads!$N$6:$N$305,$J18)&amp;""))</f>
        <v/>
      </c>
      <c r="J18" s="0" t="str">
        <f aca="false">IFERROR(MATCH(SMALL(Leads!$V$6:$V$305,5),Leads!$V$6:$V$305,0),"")</f>
        <v/>
      </c>
    </row>
    <row r="19" customFormat="false" ht="25.5" hidden="false" customHeight="true" outlineLevel="0" collapsed="false">
      <c r="A19" s="21" t="str">
        <f aca="false">IF($J19="","",INDEX(Leads!$R$6:$R$305,$J19))</f>
        <v/>
      </c>
      <c r="B19" s="22" t="str">
        <f aca="true">IF($J19="","",IF(TODAY()-A19=0,"Due today",IF(TODAY()-A19=1,"1 day",TODAY()-A19&amp;" days")))</f>
        <v/>
      </c>
      <c r="C19" s="22" t="str">
        <f aca="false">IF($J19="","",INDEX(Leads!$A$6:$A$305,$J19)&amp;"")</f>
        <v/>
      </c>
      <c r="D19" s="23" t="str">
        <f aca="false">IF($J19="","",INDEX(Leads!$C$6:$C$305,$J19)&amp;"")</f>
        <v/>
      </c>
      <c r="E19" s="23" t="str">
        <f aca="false">IF($J19="","",INDEX(Leads!$E$6:$E$305,$J19)&amp;"")</f>
        <v/>
      </c>
      <c r="F19" s="24" t="str">
        <f aca="false">IF($J19="","",INDEX(Leads!$H$6:$H$305,$J19)&amp;"")</f>
        <v/>
      </c>
      <c r="G19" s="23" t="str">
        <f aca="false">IF($J19="","",IF(INDEX(Leads!$P$6:$P$305,$J19)&amp;""="","Decide the next step",INDEX(Leads!$P$6:$P$305,$J19)&amp;""))</f>
        <v/>
      </c>
      <c r="H19" s="23" t="str">
        <f aca="false">IF($J19="","",IF(INDEX(Leads!$N$6:$N$305,$J19)&amp;""="","New",INDEX(Leads!$N$6:$N$305,$J19)&amp;""))</f>
        <v/>
      </c>
      <c r="J19" s="0" t="str">
        <f aca="false">IFERROR(MATCH(SMALL(Leads!$V$6:$V$305,6),Leads!$V$6:$V$305,0),"")</f>
        <v/>
      </c>
    </row>
    <row r="20" customFormat="false" ht="25.5" hidden="false" customHeight="true" outlineLevel="0" collapsed="false">
      <c r="A20" s="21" t="str">
        <f aca="false">IF($J20="","",INDEX(Leads!$R$6:$R$305,$J20))</f>
        <v/>
      </c>
      <c r="B20" s="22" t="str">
        <f aca="true">IF($J20="","",IF(TODAY()-A20=0,"Due today",IF(TODAY()-A20=1,"1 day",TODAY()-A20&amp;" days")))</f>
        <v/>
      </c>
      <c r="C20" s="22" t="str">
        <f aca="false">IF($J20="","",INDEX(Leads!$A$6:$A$305,$J20)&amp;"")</f>
        <v/>
      </c>
      <c r="D20" s="23" t="str">
        <f aca="false">IF($J20="","",INDEX(Leads!$C$6:$C$305,$J20)&amp;"")</f>
        <v/>
      </c>
      <c r="E20" s="23" t="str">
        <f aca="false">IF($J20="","",INDEX(Leads!$E$6:$E$305,$J20)&amp;"")</f>
        <v/>
      </c>
      <c r="F20" s="24" t="str">
        <f aca="false">IF($J20="","",INDEX(Leads!$H$6:$H$305,$J20)&amp;"")</f>
        <v/>
      </c>
      <c r="G20" s="23" t="str">
        <f aca="false">IF($J20="","",IF(INDEX(Leads!$P$6:$P$305,$J20)&amp;""="","Decide the next step",INDEX(Leads!$P$6:$P$305,$J20)&amp;""))</f>
        <v/>
      </c>
      <c r="H20" s="23" t="str">
        <f aca="false">IF($J20="","",IF(INDEX(Leads!$N$6:$N$305,$J20)&amp;""="","New",INDEX(Leads!$N$6:$N$305,$J20)&amp;""))</f>
        <v/>
      </c>
      <c r="J20" s="0" t="str">
        <f aca="false">IFERROR(MATCH(SMALL(Leads!$V$6:$V$305,7),Leads!$V$6:$V$305,0),"")</f>
        <v/>
      </c>
    </row>
    <row r="21" customFormat="false" ht="25.5" hidden="false" customHeight="true" outlineLevel="0" collapsed="false">
      <c r="A21" s="21" t="str">
        <f aca="false">IF($J21="","",INDEX(Leads!$R$6:$R$305,$J21))</f>
        <v/>
      </c>
      <c r="B21" s="22" t="str">
        <f aca="true">IF($J21="","",IF(TODAY()-A21=0,"Due today",IF(TODAY()-A21=1,"1 day",TODAY()-A21&amp;" days")))</f>
        <v/>
      </c>
      <c r="C21" s="22" t="str">
        <f aca="false">IF($J21="","",INDEX(Leads!$A$6:$A$305,$J21)&amp;"")</f>
        <v/>
      </c>
      <c r="D21" s="23" t="str">
        <f aca="false">IF($J21="","",INDEX(Leads!$C$6:$C$305,$J21)&amp;"")</f>
        <v/>
      </c>
      <c r="E21" s="23" t="str">
        <f aca="false">IF($J21="","",INDEX(Leads!$E$6:$E$305,$J21)&amp;"")</f>
        <v/>
      </c>
      <c r="F21" s="24" t="str">
        <f aca="false">IF($J21="","",INDEX(Leads!$H$6:$H$305,$J21)&amp;"")</f>
        <v/>
      </c>
      <c r="G21" s="23" t="str">
        <f aca="false">IF($J21="","",IF(INDEX(Leads!$P$6:$P$305,$J21)&amp;""="","Decide the next step",INDEX(Leads!$P$6:$P$305,$J21)&amp;""))</f>
        <v/>
      </c>
      <c r="H21" s="23" t="str">
        <f aca="false">IF($J21="","",IF(INDEX(Leads!$N$6:$N$305,$J21)&amp;""="","New",INDEX(Leads!$N$6:$N$305,$J21)&amp;""))</f>
        <v/>
      </c>
      <c r="J21" s="0" t="str">
        <f aca="false">IFERROR(MATCH(SMALL(Leads!$V$6:$V$305,8),Leads!$V$6:$V$305,0),"")</f>
        <v/>
      </c>
    </row>
    <row r="22" customFormat="false" ht="25.5" hidden="false" customHeight="true" outlineLevel="0" collapsed="false">
      <c r="A22" s="21" t="str">
        <f aca="false">IF($J22="","",INDEX(Leads!$R$6:$R$305,$J22))</f>
        <v/>
      </c>
      <c r="B22" s="22" t="str">
        <f aca="true">IF($J22="","",IF(TODAY()-A22=0,"Due today",IF(TODAY()-A22=1,"1 day",TODAY()-A22&amp;" days")))</f>
        <v/>
      </c>
      <c r="C22" s="22" t="str">
        <f aca="false">IF($J22="","",INDEX(Leads!$A$6:$A$305,$J22)&amp;"")</f>
        <v/>
      </c>
      <c r="D22" s="23" t="str">
        <f aca="false">IF($J22="","",INDEX(Leads!$C$6:$C$305,$J22)&amp;"")</f>
        <v/>
      </c>
      <c r="E22" s="23" t="str">
        <f aca="false">IF($J22="","",INDEX(Leads!$E$6:$E$305,$J22)&amp;"")</f>
        <v/>
      </c>
      <c r="F22" s="24" t="str">
        <f aca="false">IF($J22="","",INDEX(Leads!$H$6:$H$305,$J22)&amp;"")</f>
        <v/>
      </c>
      <c r="G22" s="23" t="str">
        <f aca="false">IF($J22="","",IF(INDEX(Leads!$P$6:$P$305,$J22)&amp;""="","Decide the next step",INDEX(Leads!$P$6:$P$305,$J22)&amp;""))</f>
        <v/>
      </c>
      <c r="H22" s="23" t="str">
        <f aca="false">IF($J22="","",IF(INDEX(Leads!$N$6:$N$305,$J22)&amp;""="","New",INDEX(Leads!$N$6:$N$305,$J22)&amp;""))</f>
        <v/>
      </c>
      <c r="J22" s="0" t="str">
        <f aca="false">IFERROR(MATCH(SMALL(Leads!$V$6:$V$305,9),Leads!$V$6:$V$305,0),"")</f>
        <v/>
      </c>
    </row>
    <row r="23" customFormat="false" ht="25.5" hidden="false" customHeight="true" outlineLevel="0" collapsed="false">
      <c r="A23" s="21" t="str">
        <f aca="false">IF($J23="","",INDEX(Leads!$R$6:$R$305,$J23))</f>
        <v/>
      </c>
      <c r="B23" s="22" t="str">
        <f aca="true">IF($J23="","",IF(TODAY()-A23=0,"Due today",IF(TODAY()-A23=1,"1 day",TODAY()-A23&amp;" days")))</f>
        <v/>
      </c>
      <c r="C23" s="22" t="str">
        <f aca="false">IF($J23="","",INDEX(Leads!$A$6:$A$305,$J23)&amp;"")</f>
        <v/>
      </c>
      <c r="D23" s="23" t="str">
        <f aca="false">IF($J23="","",INDEX(Leads!$C$6:$C$305,$J23)&amp;"")</f>
        <v/>
      </c>
      <c r="E23" s="23" t="str">
        <f aca="false">IF($J23="","",INDEX(Leads!$E$6:$E$305,$J23)&amp;"")</f>
        <v/>
      </c>
      <c r="F23" s="24" t="str">
        <f aca="false">IF($J23="","",INDEX(Leads!$H$6:$H$305,$J23)&amp;"")</f>
        <v/>
      </c>
      <c r="G23" s="23" t="str">
        <f aca="false">IF($J23="","",IF(INDEX(Leads!$P$6:$P$305,$J23)&amp;""="","Decide the next step",INDEX(Leads!$P$6:$P$305,$J23)&amp;""))</f>
        <v/>
      </c>
      <c r="H23" s="23" t="str">
        <f aca="false">IF($J23="","",IF(INDEX(Leads!$N$6:$N$305,$J23)&amp;""="","New",INDEX(Leads!$N$6:$N$305,$J23)&amp;""))</f>
        <v/>
      </c>
      <c r="J23" s="0" t="str">
        <f aca="false">IFERROR(MATCH(SMALL(Leads!$V$6:$V$305,10),Leads!$V$6:$V$305,0),"")</f>
        <v/>
      </c>
    </row>
    <row r="24" customFormat="false" ht="25.5" hidden="false" customHeight="true" outlineLevel="0" collapsed="false">
      <c r="A24" s="21" t="str">
        <f aca="false">IF($J24="","",INDEX(Leads!$R$6:$R$305,$J24))</f>
        <v/>
      </c>
      <c r="B24" s="22" t="str">
        <f aca="true">IF($J24="","",IF(TODAY()-A24=0,"Due today",IF(TODAY()-A24=1,"1 day",TODAY()-A24&amp;" days")))</f>
        <v/>
      </c>
      <c r="C24" s="22" t="str">
        <f aca="false">IF($J24="","",INDEX(Leads!$A$6:$A$305,$J24)&amp;"")</f>
        <v/>
      </c>
      <c r="D24" s="23" t="str">
        <f aca="false">IF($J24="","",INDEX(Leads!$C$6:$C$305,$J24)&amp;"")</f>
        <v/>
      </c>
      <c r="E24" s="23" t="str">
        <f aca="false">IF($J24="","",INDEX(Leads!$E$6:$E$305,$J24)&amp;"")</f>
        <v/>
      </c>
      <c r="F24" s="24" t="str">
        <f aca="false">IF($J24="","",INDEX(Leads!$H$6:$H$305,$J24)&amp;"")</f>
        <v/>
      </c>
      <c r="G24" s="23" t="str">
        <f aca="false">IF($J24="","",IF(INDEX(Leads!$P$6:$P$305,$J24)&amp;""="","Decide the next step",INDEX(Leads!$P$6:$P$305,$J24)&amp;""))</f>
        <v/>
      </c>
      <c r="H24" s="23" t="str">
        <f aca="false">IF($J24="","",IF(INDEX(Leads!$N$6:$N$305,$J24)&amp;""="","New",INDEX(Leads!$N$6:$N$305,$J24)&amp;""))</f>
        <v/>
      </c>
      <c r="J24" s="0" t="str">
        <f aca="false">IFERROR(MATCH(SMALL(Leads!$V$6:$V$305,11),Leads!$V$6:$V$305,0),"")</f>
        <v/>
      </c>
    </row>
    <row r="25" customFormat="false" ht="25.5" hidden="false" customHeight="true" outlineLevel="0" collapsed="false">
      <c r="A25" s="21" t="str">
        <f aca="false">IF($J25="","",INDEX(Leads!$R$6:$R$305,$J25))</f>
        <v/>
      </c>
      <c r="B25" s="22" t="str">
        <f aca="true">IF($J25="","",IF(TODAY()-A25=0,"Due today",IF(TODAY()-A25=1,"1 day",TODAY()-A25&amp;" days")))</f>
        <v/>
      </c>
      <c r="C25" s="22" t="str">
        <f aca="false">IF($J25="","",INDEX(Leads!$A$6:$A$305,$J25)&amp;"")</f>
        <v/>
      </c>
      <c r="D25" s="23" t="str">
        <f aca="false">IF($J25="","",INDEX(Leads!$C$6:$C$305,$J25)&amp;"")</f>
        <v/>
      </c>
      <c r="E25" s="23" t="str">
        <f aca="false">IF($J25="","",INDEX(Leads!$E$6:$E$305,$J25)&amp;"")</f>
        <v/>
      </c>
      <c r="F25" s="24" t="str">
        <f aca="false">IF($J25="","",INDEX(Leads!$H$6:$H$305,$J25)&amp;"")</f>
        <v/>
      </c>
      <c r="G25" s="23" t="str">
        <f aca="false">IF($J25="","",IF(INDEX(Leads!$P$6:$P$305,$J25)&amp;""="","Decide the next step",INDEX(Leads!$P$6:$P$305,$J25)&amp;""))</f>
        <v/>
      </c>
      <c r="H25" s="23" t="str">
        <f aca="false">IF($J25="","",IF(INDEX(Leads!$N$6:$N$305,$J25)&amp;""="","New",INDEX(Leads!$N$6:$N$305,$J25)&amp;""))</f>
        <v/>
      </c>
      <c r="J25" s="0" t="str">
        <f aca="false">IFERROR(MATCH(SMALL(Leads!$V$6:$V$305,12),Leads!$V$6:$V$305,0),"")</f>
        <v/>
      </c>
    </row>
    <row r="26" customFormat="false" ht="25.5" hidden="false" customHeight="true" outlineLevel="0" collapsed="false">
      <c r="A26" s="21" t="str">
        <f aca="false">IF($J26="","",INDEX(Leads!$R$6:$R$305,$J26))</f>
        <v/>
      </c>
      <c r="B26" s="22" t="str">
        <f aca="true">IF($J26="","",IF(TODAY()-A26=0,"Due today",IF(TODAY()-A26=1,"1 day",TODAY()-A26&amp;" days")))</f>
        <v/>
      </c>
      <c r="C26" s="22" t="str">
        <f aca="false">IF($J26="","",INDEX(Leads!$A$6:$A$305,$J26)&amp;"")</f>
        <v/>
      </c>
      <c r="D26" s="23" t="str">
        <f aca="false">IF($J26="","",INDEX(Leads!$C$6:$C$305,$J26)&amp;"")</f>
        <v/>
      </c>
      <c r="E26" s="23" t="str">
        <f aca="false">IF($J26="","",INDEX(Leads!$E$6:$E$305,$J26)&amp;"")</f>
        <v/>
      </c>
      <c r="F26" s="24" t="str">
        <f aca="false">IF($J26="","",INDEX(Leads!$H$6:$H$305,$J26)&amp;"")</f>
        <v/>
      </c>
      <c r="G26" s="23" t="str">
        <f aca="false">IF($J26="","",IF(INDEX(Leads!$P$6:$P$305,$J26)&amp;""="","Decide the next step",INDEX(Leads!$P$6:$P$305,$J26)&amp;""))</f>
        <v/>
      </c>
      <c r="H26" s="23" t="str">
        <f aca="false">IF($J26="","",IF(INDEX(Leads!$N$6:$N$305,$J26)&amp;""="","New",INDEX(Leads!$N$6:$N$305,$J26)&amp;""))</f>
        <v/>
      </c>
      <c r="J26" s="0" t="str">
        <f aca="false">IFERROR(MATCH(SMALL(Leads!$V$6:$V$305,13),Leads!$V$6:$V$305,0),"")</f>
        <v/>
      </c>
    </row>
    <row r="27" customFormat="false" ht="25.5" hidden="false" customHeight="true" outlineLevel="0" collapsed="false">
      <c r="A27" s="21" t="str">
        <f aca="false">IF($J27="","",INDEX(Leads!$R$6:$R$305,$J27))</f>
        <v/>
      </c>
      <c r="B27" s="22" t="str">
        <f aca="true">IF($J27="","",IF(TODAY()-A27=0,"Due today",IF(TODAY()-A27=1,"1 day",TODAY()-A27&amp;" days")))</f>
        <v/>
      </c>
      <c r="C27" s="22" t="str">
        <f aca="false">IF($J27="","",INDEX(Leads!$A$6:$A$305,$J27)&amp;"")</f>
        <v/>
      </c>
      <c r="D27" s="23" t="str">
        <f aca="false">IF($J27="","",INDEX(Leads!$C$6:$C$305,$J27)&amp;"")</f>
        <v/>
      </c>
      <c r="E27" s="23" t="str">
        <f aca="false">IF($J27="","",INDEX(Leads!$E$6:$E$305,$J27)&amp;"")</f>
        <v/>
      </c>
      <c r="F27" s="24" t="str">
        <f aca="false">IF($J27="","",INDEX(Leads!$H$6:$H$305,$J27)&amp;"")</f>
        <v/>
      </c>
      <c r="G27" s="23" t="str">
        <f aca="false">IF($J27="","",IF(INDEX(Leads!$P$6:$P$305,$J27)&amp;""="","Decide the next step",INDEX(Leads!$P$6:$P$305,$J27)&amp;""))</f>
        <v/>
      </c>
      <c r="H27" s="23" t="str">
        <f aca="false">IF($J27="","",IF(INDEX(Leads!$N$6:$N$305,$J27)&amp;""="","New",INDEX(Leads!$N$6:$N$305,$J27)&amp;""))</f>
        <v/>
      </c>
      <c r="J27" s="0" t="str">
        <f aca="false">IFERROR(MATCH(SMALL(Leads!$V$6:$V$305,14),Leads!$V$6:$V$305,0),"")</f>
        <v/>
      </c>
    </row>
    <row r="28" customFormat="false" ht="25.5" hidden="false" customHeight="true" outlineLevel="0" collapsed="false">
      <c r="A28" s="21" t="str">
        <f aca="false">IF($J28="","",INDEX(Leads!$R$6:$R$305,$J28))</f>
        <v/>
      </c>
      <c r="B28" s="22" t="str">
        <f aca="true">IF($J28="","",IF(TODAY()-A28=0,"Due today",IF(TODAY()-A28=1,"1 day",TODAY()-A28&amp;" days")))</f>
        <v/>
      </c>
      <c r="C28" s="22" t="str">
        <f aca="false">IF($J28="","",INDEX(Leads!$A$6:$A$305,$J28)&amp;"")</f>
        <v/>
      </c>
      <c r="D28" s="23" t="str">
        <f aca="false">IF($J28="","",INDEX(Leads!$C$6:$C$305,$J28)&amp;"")</f>
        <v/>
      </c>
      <c r="E28" s="23" t="str">
        <f aca="false">IF($J28="","",INDEX(Leads!$E$6:$E$305,$J28)&amp;"")</f>
        <v/>
      </c>
      <c r="F28" s="24" t="str">
        <f aca="false">IF($J28="","",INDEX(Leads!$H$6:$H$305,$J28)&amp;"")</f>
        <v/>
      </c>
      <c r="G28" s="23" t="str">
        <f aca="false">IF($J28="","",IF(INDEX(Leads!$P$6:$P$305,$J28)&amp;""="","Decide the next step",INDEX(Leads!$P$6:$P$305,$J28)&amp;""))</f>
        <v/>
      </c>
      <c r="H28" s="23" t="str">
        <f aca="false">IF($J28="","",IF(INDEX(Leads!$N$6:$N$305,$J28)&amp;""="","New",INDEX(Leads!$N$6:$N$305,$J28)&amp;""))</f>
        <v/>
      </c>
      <c r="J28" s="0" t="str">
        <f aca="false">IFERROR(MATCH(SMALL(Leads!$V$6:$V$305,15),Leads!$V$6:$V$305,0),"")</f>
        <v/>
      </c>
    </row>
    <row r="29" customFormat="false" ht="15" hidden="false" customHeight="false" outlineLevel="0" collapsed="false">
      <c r="A29" s="25" t="str">
        <f aca="true">IF((COUNTIFS(Leads!$V$6:$V$305,"&lt;"&amp;TODAY()))+(COUNTIFS(Leads!$V$6:$V$305,"&gt;="&amp;TODAY(),Leads!$V$6:$V$305,"&lt;"&amp;(TODAY()+1)))&gt;15,"+ "&amp;((COUNTIFS(Leads!$V$6:$V$305,"&lt;"&amp;TODAY()))+(COUNTIFS(Leads!$V$6:$V$305,"&gt;="&amp;TODAY(),Leads!$V$6:$V$305,"&lt;"&amp;(TODAY()+1)))-15)&amp;" more – open the Leads tab and filter RAG status for Red.","Red = late. Do the top one first, then update Last contact date on the Leads tab – it drops off this list by itself.")</f>
        <v>Red = late. Do the top one first, then update Last contact date on the Leads tab – it drops off this list by itself.</v>
      </c>
      <c r="B29" s="25"/>
      <c r="C29" s="25"/>
      <c r="D29" s="25"/>
      <c r="E29" s="25"/>
      <c r="F29" s="25"/>
      <c r="G29" s="25"/>
      <c r="H29" s="25"/>
    </row>
    <row r="31" customFormat="false" ht="21.75" hidden="false" customHeight="true" outlineLevel="0" collapsed="false">
      <c r="A31" s="4" t="s">
        <v>76</v>
      </c>
      <c r="B31" s="5"/>
      <c r="C31" s="5"/>
      <c r="D31" s="5"/>
      <c r="E31" s="5"/>
      <c r="F31" s="5"/>
      <c r="G31" s="5"/>
      <c r="H31" s="5"/>
    </row>
    <row r="32" customFormat="false" ht="15" hidden="false" customHeight="false" outlineLevel="0" collapsed="false">
      <c r="A32" s="20" t="s">
        <v>77</v>
      </c>
      <c r="B32" s="20" t="s">
        <v>78</v>
      </c>
      <c r="C32" s="20" t="s">
        <v>70</v>
      </c>
      <c r="D32" s="20" t="s">
        <v>79</v>
      </c>
      <c r="E32" s="20" t="s">
        <v>80</v>
      </c>
      <c r="F32" s="20" t="s">
        <v>81</v>
      </c>
      <c r="G32" s="20" t="s">
        <v>82</v>
      </c>
      <c r="H32" s="20" t="s">
        <v>83</v>
      </c>
    </row>
    <row r="33" customFormat="false" ht="25.5" hidden="false" customHeight="true" outlineLevel="0" collapsed="false">
      <c r="A33" s="21" t="str">
        <f aca="false">IF($J33="","",INDEX(Tenders!$G$6:$G$105,$J33))</f>
        <v/>
      </c>
      <c r="B33" s="26" t="str">
        <f aca="false">IF($J33="","",INDEX(Tenders!$H$6:$H$105,$J33))</f>
        <v/>
      </c>
      <c r="C33" s="22" t="str">
        <f aca="false">IF($J33="","",INDEX(Tenders!$A$6:$A$105,$J33)&amp;"")</f>
        <v/>
      </c>
      <c r="D33" s="23" t="str">
        <f aca="false">IF($J33="","",INDEX(Tenders!$B$6:$B$105,$J33)&amp;"")</f>
        <v/>
      </c>
      <c r="E33" s="23" t="str">
        <f aca="false">IF($J33="","",INDEX(Tenders!$C$6:$C$105,$J33)&amp;"")</f>
        <v/>
      </c>
      <c r="F33" s="23" t="str">
        <f aca="false">IF($J33="","",IF(INDEX(Tenders!$L$6:$L$105,$J33)&amp;""="","Reviewing",INDEX(Tenders!$L$6:$L$105,$J33)&amp;""))</f>
        <v/>
      </c>
      <c r="G33" s="23" t="str">
        <f aca="false">IF($J33="","",INDEX(Tenders!$Q$6:$Q$105,$J33)&amp;"")</f>
        <v/>
      </c>
      <c r="H33" s="23" t="str">
        <f aca="false">IF($J33="","",IF(INDEX(Tenders!$J$6:$J$105,$J33)&amp;""="","Not decided yet",INDEX(Tenders!$J$6:$J$105,$J33)&amp;""))</f>
        <v/>
      </c>
      <c r="J33" s="0" t="str">
        <f aca="false">IFERROR(MATCH(SMALL(Tenders!$R$6:$R$105,1),Tenders!$R$6:$R$105,0),"")</f>
        <v/>
      </c>
    </row>
    <row r="34" customFormat="false" ht="25.5" hidden="false" customHeight="true" outlineLevel="0" collapsed="false">
      <c r="A34" s="21" t="str">
        <f aca="false">IF($J34="","",INDEX(Tenders!$G$6:$G$105,$J34))</f>
        <v/>
      </c>
      <c r="B34" s="26" t="str">
        <f aca="false">IF($J34="","",INDEX(Tenders!$H$6:$H$105,$J34))</f>
        <v/>
      </c>
      <c r="C34" s="22" t="str">
        <f aca="false">IF($J34="","",INDEX(Tenders!$A$6:$A$105,$J34)&amp;"")</f>
        <v/>
      </c>
      <c r="D34" s="23" t="str">
        <f aca="false">IF($J34="","",INDEX(Tenders!$B$6:$B$105,$J34)&amp;"")</f>
        <v/>
      </c>
      <c r="E34" s="23" t="str">
        <f aca="false">IF($J34="","",INDEX(Tenders!$C$6:$C$105,$J34)&amp;"")</f>
        <v/>
      </c>
      <c r="F34" s="23" t="str">
        <f aca="false">IF($J34="","",IF(INDEX(Tenders!$L$6:$L$105,$J34)&amp;""="","Reviewing",INDEX(Tenders!$L$6:$L$105,$J34)&amp;""))</f>
        <v/>
      </c>
      <c r="G34" s="23" t="str">
        <f aca="false">IF($J34="","",INDEX(Tenders!$Q$6:$Q$105,$J34)&amp;"")</f>
        <v/>
      </c>
      <c r="H34" s="23" t="str">
        <f aca="false">IF($J34="","",IF(INDEX(Tenders!$J$6:$J$105,$J34)&amp;""="","Not decided yet",INDEX(Tenders!$J$6:$J$105,$J34)&amp;""))</f>
        <v/>
      </c>
      <c r="J34" s="0" t="str">
        <f aca="false">IFERROR(MATCH(SMALL(Tenders!$R$6:$R$105,2),Tenders!$R$6:$R$105,0),"")</f>
        <v/>
      </c>
    </row>
    <row r="35" customFormat="false" ht="25.5" hidden="false" customHeight="true" outlineLevel="0" collapsed="false">
      <c r="A35" s="21" t="str">
        <f aca="false">IF($J35="","",INDEX(Tenders!$G$6:$G$105,$J35))</f>
        <v/>
      </c>
      <c r="B35" s="26" t="str">
        <f aca="false">IF($J35="","",INDEX(Tenders!$H$6:$H$105,$J35))</f>
        <v/>
      </c>
      <c r="C35" s="22" t="str">
        <f aca="false">IF($J35="","",INDEX(Tenders!$A$6:$A$105,$J35)&amp;"")</f>
        <v/>
      </c>
      <c r="D35" s="23" t="str">
        <f aca="false">IF($J35="","",INDEX(Tenders!$B$6:$B$105,$J35)&amp;"")</f>
        <v/>
      </c>
      <c r="E35" s="23" t="str">
        <f aca="false">IF($J35="","",INDEX(Tenders!$C$6:$C$105,$J35)&amp;"")</f>
        <v/>
      </c>
      <c r="F35" s="23" t="str">
        <f aca="false">IF($J35="","",IF(INDEX(Tenders!$L$6:$L$105,$J35)&amp;""="","Reviewing",INDEX(Tenders!$L$6:$L$105,$J35)&amp;""))</f>
        <v/>
      </c>
      <c r="G35" s="23" t="str">
        <f aca="false">IF($J35="","",INDEX(Tenders!$Q$6:$Q$105,$J35)&amp;"")</f>
        <v/>
      </c>
      <c r="H35" s="23" t="str">
        <f aca="false">IF($J35="","",IF(INDEX(Tenders!$J$6:$J$105,$J35)&amp;""="","Not decided yet",INDEX(Tenders!$J$6:$J$105,$J35)&amp;""))</f>
        <v/>
      </c>
      <c r="J35" s="0" t="str">
        <f aca="false">IFERROR(MATCH(SMALL(Tenders!$R$6:$R$105,3),Tenders!$R$6:$R$105,0),"")</f>
        <v/>
      </c>
    </row>
    <row r="36" customFormat="false" ht="25.5" hidden="false" customHeight="true" outlineLevel="0" collapsed="false">
      <c r="A36" s="21" t="str">
        <f aca="false">IF($J36="","",INDEX(Tenders!$G$6:$G$105,$J36))</f>
        <v/>
      </c>
      <c r="B36" s="26" t="str">
        <f aca="false">IF($J36="","",INDEX(Tenders!$H$6:$H$105,$J36))</f>
        <v/>
      </c>
      <c r="C36" s="22" t="str">
        <f aca="false">IF($J36="","",INDEX(Tenders!$A$6:$A$105,$J36)&amp;"")</f>
        <v/>
      </c>
      <c r="D36" s="23" t="str">
        <f aca="false">IF($J36="","",INDEX(Tenders!$B$6:$B$105,$J36)&amp;"")</f>
        <v/>
      </c>
      <c r="E36" s="23" t="str">
        <f aca="false">IF($J36="","",INDEX(Tenders!$C$6:$C$105,$J36)&amp;"")</f>
        <v/>
      </c>
      <c r="F36" s="23" t="str">
        <f aca="false">IF($J36="","",IF(INDEX(Tenders!$L$6:$L$105,$J36)&amp;""="","Reviewing",INDEX(Tenders!$L$6:$L$105,$J36)&amp;""))</f>
        <v/>
      </c>
      <c r="G36" s="23" t="str">
        <f aca="false">IF($J36="","",INDEX(Tenders!$Q$6:$Q$105,$J36)&amp;"")</f>
        <v/>
      </c>
      <c r="H36" s="23" t="str">
        <f aca="false">IF($J36="","",IF(INDEX(Tenders!$J$6:$J$105,$J36)&amp;""="","Not decided yet",INDEX(Tenders!$J$6:$J$105,$J36)&amp;""))</f>
        <v/>
      </c>
      <c r="J36" s="0" t="str">
        <f aca="false">IFERROR(MATCH(SMALL(Tenders!$R$6:$R$105,4),Tenders!$R$6:$R$105,0),"")</f>
        <v/>
      </c>
    </row>
    <row r="37" customFormat="false" ht="25.5" hidden="false" customHeight="true" outlineLevel="0" collapsed="false">
      <c r="A37" s="21" t="str">
        <f aca="false">IF($J37="","",INDEX(Tenders!$G$6:$G$105,$J37))</f>
        <v/>
      </c>
      <c r="B37" s="26" t="str">
        <f aca="false">IF($J37="","",INDEX(Tenders!$H$6:$H$105,$J37))</f>
        <v/>
      </c>
      <c r="C37" s="22" t="str">
        <f aca="false">IF($J37="","",INDEX(Tenders!$A$6:$A$105,$J37)&amp;"")</f>
        <v/>
      </c>
      <c r="D37" s="23" t="str">
        <f aca="false">IF($J37="","",INDEX(Tenders!$B$6:$B$105,$J37)&amp;"")</f>
        <v/>
      </c>
      <c r="E37" s="23" t="str">
        <f aca="false">IF($J37="","",INDEX(Tenders!$C$6:$C$105,$J37)&amp;"")</f>
        <v/>
      </c>
      <c r="F37" s="23" t="str">
        <f aca="false">IF($J37="","",IF(INDEX(Tenders!$L$6:$L$105,$J37)&amp;""="","Reviewing",INDEX(Tenders!$L$6:$L$105,$J37)&amp;""))</f>
        <v/>
      </c>
      <c r="G37" s="23" t="str">
        <f aca="false">IF($J37="","",INDEX(Tenders!$Q$6:$Q$105,$J37)&amp;"")</f>
        <v/>
      </c>
      <c r="H37" s="23" t="str">
        <f aca="false">IF($J37="","",IF(INDEX(Tenders!$J$6:$J$105,$J37)&amp;""="","Not decided yet",INDEX(Tenders!$J$6:$J$105,$J37)&amp;""))</f>
        <v/>
      </c>
      <c r="J37" s="0" t="str">
        <f aca="false">IFERROR(MATCH(SMALL(Tenders!$R$6:$R$105,5),Tenders!$R$6:$R$105,0),"")</f>
        <v/>
      </c>
    </row>
    <row r="38" customFormat="false" ht="25.5" hidden="false" customHeight="true" outlineLevel="0" collapsed="false">
      <c r="A38" s="21" t="str">
        <f aca="false">IF($J38="","",INDEX(Tenders!$G$6:$G$105,$J38))</f>
        <v/>
      </c>
      <c r="B38" s="26" t="str">
        <f aca="false">IF($J38="","",INDEX(Tenders!$H$6:$H$105,$J38))</f>
        <v/>
      </c>
      <c r="C38" s="22" t="str">
        <f aca="false">IF($J38="","",INDEX(Tenders!$A$6:$A$105,$J38)&amp;"")</f>
        <v/>
      </c>
      <c r="D38" s="23" t="str">
        <f aca="false">IF($J38="","",INDEX(Tenders!$B$6:$B$105,$J38)&amp;"")</f>
        <v/>
      </c>
      <c r="E38" s="23" t="str">
        <f aca="false">IF($J38="","",INDEX(Tenders!$C$6:$C$105,$J38)&amp;"")</f>
        <v/>
      </c>
      <c r="F38" s="23" t="str">
        <f aca="false">IF($J38="","",IF(INDEX(Tenders!$L$6:$L$105,$J38)&amp;""="","Reviewing",INDEX(Tenders!$L$6:$L$105,$J38)&amp;""))</f>
        <v/>
      </c>
      <c r="G38" s="23" t="str">
        <f aca="false">IF($J38="","",INDEX(Tenders!$Q$6:$Q$105,$J38)&amp;"")</f>
        <v/>
      </c>
      <c r="H38" s="23" t="str">
        <f aca="false">IF($J38="","",IF(INDEX(Tenders!$J$6:$J$105,$J38)&amp;""="","Not decided yet",INDEX(Tenders!$J$6:$J$105,$J38)&amp;""))</f>
        <v/>
      </c>
      <c r="J38" s="0" t="str">
        <f aca="false">IFERROR(MATCH(SMALL(Tenders!$R$6:$R$105,6),Tenders!$R$6:$R$105,0),"")</f>
        <v/>
      </c>
    </row>
    <row r="39" customFormat="false" ht="25.5" hidden="false" customHeight="true" outlineLevel="0" collapsed="false">
      <c r="A39" s="21" t="str">
        <f aca="false">IF($J39="","",INDEX(Tenders!$G$6:$G$105,$J39))</f>
        <v/>
      </c>
      <c r="B39" s="26" t="str">
        <f aca="false">IF($J39="","",INDEX(Tenders!$H$6:$H$105,$J39))</f>
        <v/>
      </c>
      <c r="C39" s="22" t="str">
        <f aca="false">IF($J39="","",INDEX(Tenders!$A$6:$A$105,$J39)&amp;"")</f>
        <v/>
      </c>
      <c r="D39" s="23" t="str">
        <f aca="false">IF($J39="","",INDEX(Tenders!$B$6:$B$105,$J39)&amp;"")</f>
        <v/>
      </c>
      <c r="E39" s="23" t="str">
        <f aca="false">IF($J39="","",INDEX(Tenders!$C$6:$C$105,$J39)&amp;"")</f>
        <v/>
      </c>
      <c r="F39" s="23" t="str">
        <f aca="false">IF($J39="","",IF(INDEX(Tenders!$L$6:$L$105,$J39)&amp;""="","Reviewing",INDEX(Tenders!$L$6:$L$105,$J39)&amp;""))</f>
        <v/>
      </c>
      <c r="G39" s="23" t="str">
        <f aca="false">IF($J39="","",INDEX(Tenders!$Q$6:$Q$105,$J39)&amp;"")</f>
        <v/>
      </c>
      <c r="H39" s="23" t="str">
        <f aca="false">IF($J39="","",IF(INDEX(Tenders!$J$6:$J$105,$J39)&amp;""="","Not decided yet",INDEX(Tenders!$J$6:$J$105,$J39)&amp;""))</f>
        <v/>
      </c>
      <c r="J39" s="0" t="str">
        <f aca="false">IFERROR(MATCH(SMALL(Tenders!$R$6:$R$105,7),Tenders!$R$6:$R$105,0),"")</f>
        <v/>
      </c>
    </row>
    <row r="40" customFormat="false" ht="25.5" hidden="false" customHeight="true" outlineLevel="0" collapsed="false">
      <c r="A40" s="21" t="str">
        <f aca="false">IF($J40="","",INDEX(Tenders!$G$6:$G$105,$J40))</f>
        <v/>
      </c>
      <c r="B40" s="26" t="str">
        <f aca="false">IF($J40="","",INDEX(Tenders!$H$6:$H$105,$J40))</f>
        <v/>
      </c>
      <c r="C40" s="22" t="str">
        <f aca="false">IF($J40="","",INDEX(Tenders!$A$6:$A$105,$J40)&amp;"")</f>
        <v/>
      </c>
      <c r="D40" s="23" t="str">
        <f aca="false">IF($J40="","",INDEX(Tenders!$B$6:$B$105,$J40)&amp;"")</f>
        <v/>
      </c>
      <c r="E40" s="23" t="str">
        <f aca="false">IF($J40="","",INDEX(Tenders!$C$6:$C$105,$J40)&amp;"")</f>
        <v/>
      </c>
      <c r="F40" s="23" t="str">
        <f aca="false">IF($J40="","",IF(INDEX(Tenders!$L$6:$L$105,$J40)&amp;""="","Reviewing",INDEX(Tenders!$L$6:$L$105,$J40)&amp;""))</f>
        <v/>
      </c>
      <c r="G40" s="23" t="str">
        <f aca="false">IF($J40="","",INDEX(Tenders!$Q$6:$Q$105,$J40)&amp;"")</f>
        <v/>
      </c>
      <c r="H40" s="23" t="str">
        <f aca="false">IF($J40="","",IF(INDEX(Tenders!$J$6:$J$105,$J40)&amp;""="","Not decided yet",INDEX(Tenders!$J$6:$J$105,$J40)&amp;""))</f>
        <v/>
      </c>
      <c r="J40" s="0" t="str">
        <f aca="false">IFERROR(MATCH(SMALL(Tenders!$R$6:$R$105,8),Tenders!$R$6:$R$105,0),"")</f>
        <v/>
      </c>
    </row>
    <row r="41" customFormat="false" ht="25.5" hidden="false" customHeight="true" outlineLevel="0" collapsed="false">
      <c r="A41" s="21" t="str">
        <f aca="false">IF($J41="","",INDEX(Tenders!$G$6:$G$105,$J41))</f>
        <v/>
      </c>
      <c r="B41" s="26" t="str">
        <f aca="false">IF($J41="","",INDEX(Tenders!$H$6:$H$105,$J41))</f>
        <v/>
      </c>
      <c r="C41" s="22" t="str">
        <f aca="false">IF($J41="","",INDEX(Tenders!$A$6:$A$105,$J41)&amp;"")</f>
        <v/>
      </c>
      <c r="D41" s="23" t="str">
        <f aca="false">IF($J41="","",INDEX(Tenders!$B$6:$B$105,$J41)&amp;"")</f>
        <v/>
      </c>
      <c r="E41" s="23" t="str">
        <f aca="false">IF($J41="","",INDEX(Tenders!$C$6:$C$105,$J41)&amp;"")</f>
        <v/>
      </c>
      <c r="F41" s="23" t="str">
        <f aca="false">IF($J41="","",IF(INDEX(Tenders!$L$6:$L$105,$J41)&amp;""="","Reviewing",INDEX(Tenders!$L$6:$L$105,$J41)&amp;""))</f>
        <v/>
      </c>
      <c r="G41" s="23" t="str">
        <f aca="false">IF($J41="","",INDEX(Tenders!$Q$6:$Q$105,$J41)&amp;"")</f>
        <v/>
      </c>
      <c r="H41" s="23" t="str">
        <f aca="false">IF($J41="","",IF(INDEX(Tenders!$J$6:$J$105,$J41)&amp;""="","Not decided yet",INDEX(Tenders!$J$6:$J$105,$J41)&amp;""))</f>
        <v/>
      </c>
      <c r="J41" s="0" t="str">
        <f aca="false">IFERROR(MATCH(SMALL(Tenders!$R$6:$R$105,9),Tenders!$R$6:$R$105,0),"")</f>
        <v/>
      </c>
    </row>
    <row r="42" customFormat="false" ht="25.5" hidden="false" customHeight="true" outlineLevel="0" collapsed="false">
      <c r="A42" s="21" t="str">
        <f aca="false">IF($J42="","",INDEX(Tenders!$G$6:$G$105,$J42))</f>
        <v/>
      </c>
      <c r="B42" s="26" t="str">
        <f aca="false">IF($J42="","",INDEX(Tenders!$H$6:$H$105,$J42))</f>
        <v/>
      </c>
      <c r="C42" s="22" t="str">
        <f aca="false">IF($J42="","",INDEX(Tenders!$A$6:$A$105,$J42)&amp;"")</f>
        <v/>
      </c>
      <c r="D42" s="23" t="str">
        <f aca="false">IF($J42="","",INDEX(Tenders!$B$6:$B$105,$J42)&amp;"")</f>
        <v/>
      </c>
      <c r="E42" s="23" t="str">
        <f aca="false">IF($J42="","",INDEX(Tenders!$C$6:$C$105,$J42)&amp;"")</f>
        <v/>
      </c>
      <c r="F42" s="23" t="str">
        <f aca="false">IF($J42="","",IF(INDEX(Tenders!$L$6:$L$105,$J42)&amp;""="","Reviewing",INDEX(Tenders!$L$6:$L$105,$J42)&amp;""))</f>
        <v/>
      </c>
      <c r="G42" s="23" t="str">
        <f aca="false">IF($J42="","",INDEX(Tenders!$Q$6:$Q$105,$J42)&amp;"")</f>
        <v/>
      </c>
      <c r="H42" s="23" t="str">
        <f aca="false">IF($J42="","",IF(INDEX(Tenders!$J$6:$J$105,$J42)&amp;""="","Not decided yet",INDEX(Tenders!$J$6:$J$105,$J42)&amp;""))</f>
        <v/>
      </c>
      <c r="J42" s="0" t="str">
        <f aca="false">IFERROR(MATCH(SMALL(Tenders!$R$6:$R$105,10),Tenders!$R$6:$R$105,0),"")</f>
        <v/>
      </c>
    </row>
    <row r="43" customFormat="false" ht="15" hidden="false" customHeight="false" outlineLevel="0" collapsed="false">
      <c r="A43" s="25" t="str">
        <f aca="false">IF(COUNT(Tenders!$R$6:$R$105)&gt;10,"+ "&amp;(COUNT(Tenders!$R$6:$R$105)-10)&amp;" more – see the Tenders tab.","Red = 7 days or fewer. No decision yet? Score it with ARB-BD-05 today.")</f>
        <v>Red = 7 days or fewer. No decision yet? Score it with ARB-BD-05 today.</v>
      </c>
      <c r="B43" s="25"/>
      <c r="C43" s="25"/>
      <c r="D43" s="25"/>
      <c r="E43" s="25"/>
      <c r="F43" s="25"/>
      <c r="G43" s="25"/>
      <c r="H43" s="25"/>
    </row>
    <row r="45" customFormat="false" ht="21.75" hidden="false" customHeight="true" outlineLevel="0" collapsed="false">
      <c r="A45" s="4" t="s">
        <v>84</v>
      </c>
      <c r="B45" s="5"/>
      <c r="C45" s="5"/>
      <c r="D45" s="5"/>
      <c r="E45" s="5"/>
      <c r="F45" s="5"/>
      <c r="G45" s="5"/>
      <c r="H45" s="5"/>
    </row>
    <row r="46" customFormat="false" ht="22.35" hidden="false" customHeight="false" outlineLevel="0" collapsed="false">
      <c r="A46" s="20" t="s">
        <v>85</v>
      </c>
      <c r="B46" s="20" t="s">
        <v>86</v>
      </c>
      <c r="C46" s="20" t="s">
        <v>87</v>
      </c>
      <c r="D46" s="20" t="s">
        <v>88</v>
      </c>
      <c r="E46" s="20" t="s">
        <v>89</v>
      </c>
      <c r="F46" s="20" t="s">
        <v>90</v>
      </c>
      <c r="G46" s="20" t="s">
        <v>82</v>
      </c>
      <c r="H46" s="20" t="s">
        <v>81</v>
      </c>
    </row>
    <row r="47" customFormat="false" ht="25.5" hidden="false" customHeight="true" outlineLevel="0" collapsed="false">
      <c r="A47" s="21" t="str">
        <f aca="false">IF($J47="","",INDEX(Quotes!$D$6:$D$305,$J47))</f>
        <v/>
      </c>
      <c r="B47" s="27" t="str">
        <f aca="false">IF($J47="","",INDEX(Quotes!$F$6:$F$305,$J47))</f>
        <v/>
      </c>
      <c r="C47" s="22" t="str">
        <f aca="false">IF($J47="","",INDEX(Quotes!$A$6:$A$305,$J47)&amp;"")</f>
        <v/>
      </c>
      <c r="D47" s="23" t="str">
        <f aca="false">IF($J47="","",INDEX(Quotes!$B$6:$B$305,$J47)&amp;"")</f>
        <v/>
      </c>
      <c r="E47" s="28" t="str">
        <f aca="false">IF($J47="","",INDEX(Quotes!$E$6:$E$305,$J47))</f>
        <v/>
      </c>
      <c r="F47" s="23" t="str">
        <f aca="false">IF($J47="","",IF(INDEX(Quotes!$H$6:$H$305,$J47)&lt;&gt;"","Twice",IF(INDEX(Quotes!$G$6:$G$305,$J47)&lt;&gt;"","Once","Not yet")))</f>
        <v/>
      </c>
      <c r="G47" s="23" t="str">
        <f aca="false">IF($J47="","",INDEX(Quotes!$L$6:$L$305,$J47)&amp;"")</f>
        <v/>
      </c>
      <c r="H47" s="23" t="str">
        <f aca="false">IF($J47="","",IF(INDEX(Quotes!$I$6:$I$305,$J47)&amp;""="","Sent",INDEX(Quotes!$I$6:$I$305,$J47)&amp;""))</f>
        <v/>
      </c>
      <c r="J47" s="0" t="str">
        <f aca="false">IFERROR(MATCH(SMALL(Quotes!$O$6:$O$305,1),Quotes!$O$6:$O$305,0),"")</f>
        <v/>
      </c>
    </row>
    <row r="48" customFormat="false" ht="25.5" hidden="false" customHeight="true" outlineLevel="0" collapsed="false">
      <c r="A48" s="21" t="str">
        <f aca="false">IF($J48="","",INDEX(Quotes!$D$6:$D$305,$J48))</f>
        <v/>
      </c>
      <c r="B48" s="27" t="str">
        <f aca="false">IF($J48="","",INDEX(Quotes!$F$6:$F$305,$J48))</f>
        <v/>
      </c>
      <c r="C48" s="22" t="str">
        <f aca="false">IF($J48="","",INDEX(Quotes!$A$6:$A$305,$J48)&amp;"")</f>
        <v/>
      </c>
      <c r="D48" s="23" t="str">
        <f aca="false">IF($J48="","",INDEX(Quotes!$B$6:$B$305,$J48)&amp;"")</f>
        <v/>
      </c>
      <c r="E48" s="28" t="str">
        <f aca="false">IF($J48="","",INDEX(Quotes!$E$6:$E$305,$J48))</f>
        <v/>
      </c>
      <c r="F48" s="23" t="str">
        <f aca="false">IF($J48="","",IF(INDEX(Quotes!$H$6:$H$305,$J48)&lt;&gt;"","Twice",IF(INDEX(Quotes!$G$6:$G$305,$J48)&lt;&gt;"","Once","Not yet")))</f>
        <v/>
      </c>
      <c r="G48" s="23" t="str">
        <f aca="false">IF($J48="","",INDEX(Quotes!$L$6:$L$305,$J48)&amp;"")</f>
        <v/>
      </c>
      <c r="H48" s="23" t="str">
        <f aca="false">IF($J48="","",IF(INDEX(Quotes!$I$6:$I$305,$J48)&amp;""="","Sent",INDEX(Quotes!$I$6:$I$305,$J48)&amp;""))</f>
        <v/>
      </c>
      <c r="J48" s="0" t="str">
        <f aca="false">IFERROR(MATCH(SMALL(Quotes!$O$6:$O$305,2),Quotes!$O$6:$O$305,0),"")</f>
        <v/>
      </c>
    </row>
    <row r="49" customFormat="false" ht="25.5" hidden="false" customHeight="true" outlineLevel="0" collapsed="false">
      <c r="A49" s="21" t="str">
        <f aca="false">IF($J49="","",INDEX(Quotes!$D$6:$D$305,$J49))</f>
        <v/>
      </c>
      <c r="B49" s="27" t="str">
        <f aca="false">IF($J49="","",INDEX(Quotes!$F$6:$F$305,$J49))</f>
        <v/>
      </c>
      <c r="C49" s="22" t="str">
        <f aca="false">IF($J49="","",INDEX(Quotes!$A$6:$A$305,$J49)&amp;"")</f>
        <v/>
      </c>
      <c r="D49" s="23" t="str">
        <f aca="false">IF($J49="","",INDEX(Quotes!$B$6:$B$305,$J49)&amp;"")</f>
        <v/>
      </c>
      <c r="E49" s="28" t="str">
        <f aca="false">IF($J49="","",INDEX(Quotes!$E$6:$E$305,$J49))</f>
        <v/>
      </c>
      <c r="F49" s="23" t="str">
        <f aca="false">IF($J49="","",IF(INDEX(Quotes!$H$6:$H$305,$J49)&lt;&gt;"","Twice",IF(INDEX(Quotes!$G$6:$G$305,$J49)&lt;&gt;"","Once","Not yet")))</f>
        <v/>
      </c>
      <c r="G49" s="23" t="str">
        <f aca="false">IF($J49="","",INDEX(Quotes!$L$6:$L$305,$J49)&amp;"")</f>
        <v/>
      </c>
      <c r="H49" s="23" t="str">
        <f aca="false">IF($J49="","",IF(INDEX(Quotes!$I$6:$I$305,$J49)&amp;""="","Sent",INDEX(Quotes!$I$6:$I$305,$J49)&amp;""))</f>
        <v/>
      </c>
      <c r="J49" s="0" t="str">
        <f aca="false">IFERROR(MATCH(SMALL(Quotes!$O$6:$O$305,3),Quotes!$O$6:$O$305,0),"")</f>
        <v/>
      </c>
    </row>
    <row r="50" customFormat="false" ht="25.5" hidden="false" customHeight="true" outlineLevel="0" collapsed="false">
      <c r="A50" s="21" t="str">
        <f aca="false">IF($J50="","",INDEX(Quotes!$D$6:$D$305,$J50))</f>
        <v/>
      </c>
      <c r="B50" s="27" t="str">
        <f aca="false">IF($J50="","",INDEX(Quotes!$F$6:$F$305,$J50))</f>
        <v/>
      </c>
      <c r="C50" s="22" t="str">
        <f aca="false">IF($J50="","",INDEX(Quotes!$A$6:$A$305,$J50)&amp;"")</f>
        <v/>
      </c>
      <c r="D50" s="23" t="str">
        <f aca="false">IF($J50="","",INDEX(Quotes!$B$6:$B$305,$J50)&amp;"")</f>
        <v/>
      </c>
      <c r="E50" s="28" t="str">
        <f aca="false">IF($J50="","",INDEX(Quotes!$E$6:$E$305,$J50))</f>
        <v/>
      </c>
      <c r="F50" s="23" t="str">
        <f aca="false">IF($J50="","",IF(INDEX(Quotes!$H$6:$H$305,$J50)&lt;&gt;"","Twice",IF(INDEX(Quotes!$G$6:$G$305,$J50)&lt;&gt;"","Once","Not yet")))</f>
        <v/>
      </c>
      <c r="G50" s="23" t="str">
        <f aca="false">IF($J50="","",INDEX(Quotes!$L$6:$L$305,$J50)&amp;"")</f>
        <v/>
      </c>
      <c r="H50" s="23" t="str">
        <f aca="false">IF($J50="","",IF(INDEX(Quotes!$I$6:$I$305,$J50)&amp;""="","Sent",INDEX(Quotes!$I$6:$I$305,$J50)&amp;""))</f>
        <v/>
      </c>
      <c r="J50" s="0" t="str">
        <f aca="false">IFERROR(MATCH(SMALL(Quotes!$O$6:$O$305,4),Quotes!$O$6:$O$305,0),"")</f>
        <v/>
      </c>
    </row>
    <row r="51" customFormat="false" ht="25.5" hidden="false" customHeight="true" outlineLevel="0" collapsed="false">
      <c r="A51" s="21" t="str">
        <f aca="false">IF($J51="","",INDEX(Quotes!$D$6:$D$305,$J51))</f>
        <v/>
      </c>
      <c r="B51" s="27" t="str">
        <f aca="false">IF($J51="","",INDEX(Quotes!$F$6:$F$305,$J51))</f>
        <v/>
      </c>
      <c r="C51" s="22" t="str">
        <f aca="false">IF($J51="","",INDEX(Quotes!$A$6:$A$305,$J51)&amp;"")</f>
        <v/>
      </c>
      <c r="D51" s="23" t="str">
        <f aca="false">IF($J51="","",INDEX(Quotes!$B$6:$B$305,$J51)&amp;"")</f>
        <v/>
      </c>
      <c r="E51" s="28" t="str">
        <f aca="false">IF($J51="","",INDEX(Quotes!$E$6:$E$305,$J51))</f>
        <v/>
      </c>
      <c r="F51" s="23" t="str">
        <f aca="false">IF($J51="","",IF(INDEX(Quotes!$H$6:$H$305,$J51)&lt;&gt;"","Twice",IF(INDEX(Quotes!$G$6:$G$305,$J51)&lt;&gt;"","Once","Not yet")))</f>
        <v/>
      </c>
      <c r="G51" s="23" t="str">
        <f aca="false">IF($J51="","",INDEX(Quotes!$L$6:$L$305,$J51)&amp;"")</f>
        <v/>
      </c>
      <c r="H51" s="23" t="str">
        <f aca="false">IF($J51="","",IF(INDEX(Quotes!$I$6:$I$305,$J51)&amp;""="","Sent",INDEX(Quotes!$I$6:$I$305,$J51)&amp;""))</f>
        <v/>
      </c>
      <c r="J51" s="0" t="str">
        <f aca="false">IFERROR(MATCH(SMALL(Quotes!$O$6:$O$305,5),Quotes!$O$6:$O$305,0),"")</f>
        <v/>
      </c>
    </row>
    <row r="52" customFormat="false" ht="25.5" hidden="false" customHeight="true" outlineLevel="0" collapsed="false">
      <c r="A52" s="21" t="str">
        <f aca="false">IF($J52="","",INDEX(Quotes!$D$6:$D$305,$J52))</f>
        <v/>
      </c>
      <c r="B52" s="27" t="str">
        <f aca="false">IF($J52="","",INDEX(Quotes!$F$6:$F$305,$J52))</f>
        <v/>
      </c>
      <c r="C52" s="22" t="str">
        <f aca="false">IF($J52="","",INDEX(Quotes!$A$6:$A$305,$J52)&amp;"")</f>
        <v/>
      </c>
      <c r="D52" s="23" t="str">
        <f aca="false">IF($J52="","",INDEX(Quotes!$B$6:$B$305,$J52)&amp;"")</f>
        <v/>
      </c>
      <c r="E52" s="28" t="str">
        <f aca="false">IF($J52="","",INDEX(Quotes!$E$6:$E$305,$J52))</f>
        <v/>
      </c>
      <c r="F52" s="23" t="str">
        <f aca="false">IF($J52="","",IF(INDEX(Quotes!$H$6:$H$305,$J52)&lt;&gt;"","Twice",IF(INDEX(Quotes!$G$6:$G$305,$J52)&lt;&gt;"","Once","Not yet")))</f>
        <v/>
      </c>
      <c r="G52" s="23" t="str">
        <f aca="false">IF($J52="","",INDEX(Quotes!$L$6:$L$305,$J52)&amp;"")</f>
        <v/>
      </c>
      <c r="H52" s="23" t="str">
        <f aca="false">IF($J52="","",IF(INDEX(Quotes!$I$6:$I$305,$J52)&amp;""="","Sent",INDEX(Quotes!$I$6:$I$305,$J52)&amp;""))</f>
        <v/>
      </c>
      <c r="J52" s="0" t="str">
        <f aca="false">IFERROR(MATCH(SMALL(Quotes!$O$6:$O$305,6),Quotes!$O$6:$O$305,0),"")</f>
        <v/>
      </c>
    </row>
    <row r="53" customFormat="false" ht="25.5" hidden="false" customHeight="true" outlineLevel="0" collapsed="false">
      <c r="A53" s="21" t="str">
        <f aca="false">IF($J53="","",INDEX(Quotes!$D$6:$D$305,$J53))</f>
        <v/>
      </c>
      <c r="B53" s="27" t="str">
        <f aca="false">IF($J53="","",INDEX(Quotes!$F$6:$F$305,$J53))</f>
        <v/>
      </c>
      <c r="C53" s="22" t="str">
        <f aca="false">IF($J53="","",INDEX(Quotes!$A$6:$A$305,$J53)&amp;"")</f>
        <v/>
      </c>
      <c r="D53" s="23" t="str">
        <f aca="false">IF($J53="","",INDEX(Quotes!$B$6:$B$305,$J53)&amp;"")</f>
        <v/>
      </c>
      <c r="E53" s="28" t="str">
        <f aca="false">IF($J53="","",INDEX(Quotes!$E$6:$E$305,$J53))</f>
        <v/>
      </c>
      <c r="F53" s="23" t="str">
        <f aca="false">IF($J53="","",IF(INDEX(Quotes!$H$6:$H$305,$J53)&lt;&gt;"","Twice",IF(INDEX(Quotes!$G$6:$G$305,$J53)&lt;&gt;"","Once","Not yet")))</f>
        <v/>
      </c>
      <c r="G53" s="23" t="str">
        <f aca="false">IF($J53="","",INDEX(Quotes!$L$6:$L$305,$J53)&amp;"")</f>
        <v/>
      </c>
      <c r="H53" s="23" t="str">
        <f aca="false">IF($J53="","",IF(INDEX(Quotes!$I$6:$I$305,$J53)&amp;""="","Sent",INDEX(Quotes!$I$6:$I$305,$J53)&amp;""))</f>
        <v/>
      </c>
      <c r="J53" s="0" t="str">
        <f aca="false">IFERROR(MATCH(SMALL(Quotes!$O$6:$O$305,7),Quotes!$O$6:$O$305,0),"")</f>
        <v/>
      </c>
    </row>
    <row r="54" customFormat="false" ht="25.5" hidden="false" customHeight="true" outlineLevel="0" collapsed="false">
      <c r="A54" s="21" t="str">
        <f aca="false">IF($J54="","",INDEX(Quotes!$D$6:$D$305,$J54))</f>
        <v/>
      </c>
      <c r="B54" s="27" t="str">
        <f aca="false">IF($J54="","",INDEX(Quotes!$F$6:$F$305,$J54))</f>
        <v/>
      </c>
      <c r="C54" s="22" t="str">
        <f aca="false">IF($J54="","",INDEX(Quotes!$A$6:$A$305,$J54)&amp;"")</f>
        <v/>
      </c>
      <c r="D54" s="23" t="str">
        <f aca="false">IF($J54="","",INDEX(Quotes!$B$6:$B$305,$J54)&amp;"")</f>
        <v/>
      </c>
      <c r="E54" s="28" t="str">
        <f aca="false">IF($J54="","",INDEX(Quotes!$E$6:$E$305,$J54))</f>
        <v/>
      </c>
      <c r="F54" s="23" t="str">
        <f aca="false">IF($J54="","",IF(INDEX(Quotes!$H$6:$H$305,$J54)&lt;&gt;"","Twice",IF(INDEX(Quotes!$G$6:$G$305,$J54)&lt;&gt;"","Once","Not yet")))</f>
        <v/>
      </c>
      <c r="G54" s="23" t="str">
        <f aca="false">IF($J54="","",INDEX(Quotes!$L$6:$L$305,$J54)&amp;"")</f>
        <v/>
      </c>
      <c r="H54" s="23" t="str">
        <f aca="false">IF($J54="","",IF(INDEX(Quotes!$I$6:$I$305,$J54)&amp;""="","Sent",INDEX(Quotes!$I$6:$I$305,$J54)&amp;""))</f>
        <v/>
      </c>
      <c r="J54" s="0" t="str">
        <f aca="false">IFERROR(MATCH(SMALL(Quotes!$O$6:$O$305,8),Quotes!$O$6:$O$305,0),"")</f>
        <v/>
      </c>
    </row>
    <row r="55" customFormat="false" ht="25.5" hidden="false" customHeight="true" outlineLevel="0" collapsed="false">
      <c r="A55" s="21" t="str">
        <f aca="false">IF($J55="","",INDEX(Quotes!$D$6:$D$305,$J55))</f>
        <v/>
      </c>
      <c r="B55" s="27" t="str">
        <f aca="false">IF($J55="","",INDEX(Quotes!$F$6:$F$305,$J55))</f>
        <v/>
      </c>
      <c r="C55" s="22" t="str">
        <f aca="false">IF($J55="","",INDEX(Quotes!$A$6:$A$305,$J55)&amp;"")</f>
        <v/>
      </c>
      <c r="D55" s="23" t="str">
        <f aca="false">IF($J55="","",INDEX(Quotes!$B$6:$B$305,$J55)&amp;"")</f>
        <v/>
      </c>
      <c r="E55" s="28" t="str">
        <f aca="false">IF($J55="","",INDEX(Quotes!$E$6:$E$305,$J55))</f>
        <v/>
      </c>
      <c r="F55" s="23" t="str">
        <f aca="false">IF($J55="","",IF(INDEX(Quotes!$H$6:$H$305,$J55)&lt;&gt;"","Twice",IF(INDEX(Quotes!$G$6:$G$305,$J55)&lt;&gt;"","Once","Not yet")))</f>
        <v/>
      </c>
      <c r="G55" s="23" t="str">
        <f aca="false">IF($J55="","",INDEX(Quotes!$L$6:$L$305,$J55)&amp;"")</f>
        <v/>
      </c>
      <c r="H55" s="23" t="str">
        <f aca="false">IF($J55="","",IF(INDEX(Quotes!$I$6:$I$305,$J55)&amp;""="","Sent",INDEX(Quotes!$I$6:$I$305,$J55)&amp;""))</f>
        <v/>
      </c>
      <c r="J55" s="0" t="str">
        <f aca="false">IFERROR(MATCH(SMALL(Quotes!$O$6:$O$305,9),Quotes!$O$6:$O$305,0),"")</f>
        <v/>
      </c>
    </row>
    <row r="56" customFormat="false" ht="25.5" hidden="false" customHeight="true" outlineLevel="0" collapsed="false">
      <c r="A56" s="21" t="str">
        <f aca="false">IF($J56="","",INDEX(Quotes!$D$6:$D$305,$J56))</f>
        <v/>
      </c>
      <c r="B56" s="27" t="str">
        <f aca="false">IF($J56="","",INDEX(Quotes!$F$6:$F$305,$J56))</f>
        <v/>
      </c>
      <c r="C56" s="22" t="str">
        <f aca="false">IF($J56="","",INDEX(Quotes!$A$6:$A$305,$J56)&amp;"")</f>
        <v/>
      </c>
      <c r="D56" s="23" t="str">
        <f aca="false">IF($J56="","",INDEX(Quotes!$B$6:$B$305,$J56)&amp;"")</f>
        <v/>
      </c>
      <c r="E56" s="28" t="str">
        <f aca="false">IF($J56="","",INDEX(Quotes!$E$6:$E$305,$J56))</f>
        <v/>
      </c>
      <c r="F56" s="23" t="str">
        <f aca="false">IF($J56="","",IF(INDEX(Quotes!$H$6:$H$305,$J56)&lt;&gt;"","Twice",IF(INDEX(Quotes!$G$6:$G$305,$J56)&lt;&gt;"","Once","Not yet")))</f>
        <v/>
      </c>
      <c r="G56" s="23" t="str">
        <f aca="false">IF($J56="","",INDEX(Quotes!$L$6:$L$305,$J56)&amp;"")</f>
        <v/>
      </c>
      <c r="H56" s="23" t="str">
        <f aca="false">IF($J56="","",IF(INDEX(Quotes!$I$6:$I$305,$J56)&amp;""="","Sent",INDEX(Quotes!$I$6:$I$305,$J56)&amp;""))</f>
        <v/>
      </c>
      <c r="J56" s="0" t="str">
        <f aca="false">IFERROR(MATCH(SMALL(Quotes!$O$6:$O$305,10),Quotes!$O$6:$O$305,0),"")</f>
        <v/>
      </c>
    </row>
    <row r="57" customFormat="false" ht="15" hidden="false" customHeight="false" outlineLevel="0" collapsed="false">
      <c r="A57" s="25" t="str">
        <f aca="false">IF(COUNT(Quotes!$O$6:$O$305)&gt;10,"+ "&amp;(COUNT(Quotes!$O$6:$O$305)-10)&amp;" more – see the Quotes tab.","Amber = over 7 days. Red = over 14 days. After two chases, call them.")</f>
        <v>Amber = over 7 days. Red = over 14 days. After two chases, call them.</v>
      </c>
      <c r="B57" s="25"/>
      <c r="C57" s="25"/>
      <c r="D57" s="25"/>
      <c r="E57" s="25"/>
      <c r="F57" s="25"/>
      <c r="G57" s="25"/>
      <c r="H57" s="25"/>
    </row>
    <row r="59" customFormat="false" ht="21.75" hidden="false" customHeight="true" outlineLevel="0" collapsed="false">
      <c r="A59" s="4" t="str">
        <f aca="true">"4   THIS MONTH – "&amp;UPPER(TEXT(TODAY(),"mmmm yyyy"))&amp;"   (quotes and tenders together)"</f>
        <v>4   THIS MONTH – OCTOBER 2026   (quotes and tenders together)</v>
      </c>
      <c r="B59" s="5"/>
      <c r="C59" s="5"/>
      <c r="D59" s="5"/>
      <c r="E59" s="5"/>
      <c r="F59" s="5"/>
      <c r="G59" s="5"/>
      <c r="H59" s="5"/>
    </row>
    <row r="60" customFormat="false" ht="15" hidden="false" customHeight="true" outlineLevel="0" collapsed="false">
      <c r="A60" s="18" t="s">
        <v>91</v>
      </c>
      <c r="B60" s="18"/>
      <c r="C60" s="18" t="s">
        <v>92</v>
      </c>
      <c r="D60" s="18"/>
      <c r="E60" s="18" t="s">
        <v>93</v>
      </c>
      <c r="F60" s="18"/>
      <c r="G60" s="18" t="s">
        <v>94</v>
      </c>
      <c r="H60" s="18"/>
    </row>
    <row r="61" customFormat="false" ht="30" hidden="false" customHeight="true" outlineLevel="0" collapsed="false">
      <c r="A61" s="29" t="n">
        <f aca="true">COUNTIFS(Leads!$B$6:$B$305,"&gt;="&amp;DATE(YEAR(TODAY()),MONTH(TODAY()),1),Leads!$B$6:$B$305,"&lt;"&amp;DATE(YEAR(TODAY()),MONTH(TODAY())+1,1))</f>
        <v>0</v>
      </c>
      <c r="B61" s="29"/>
      <c r="C61" s="29" t="n">
        <f aca="true">COUNTIFS(Quotes!$D$6:$D$305,"&gt;="&amp;DATE(YEAR(TODAY()),MONTH(TODAY()),1),Quotes!$D$6:$D$305,"&lt;"&amp;DATE(YEAR(TODAY()),MONTH(TODAY())+1,1))</f>
        <v>0</v>
      </c>
      <c r="D61" s="29"/>
      <c r="E61" s="29" t="n">
        <f aca="true">(COUNTIFS(Quotes!$I$6:$I$305,"Won",Quotes!$J$6:$J$305,"&gt;="&amp;DATE(YEAR(TODAY()),MONTH(TODAY()),1),Quotes!$J$6:$J$305,"&lt;"&amp;DATE(YEAR(TODAY()),MONTH(TODAY())+1,1))+COUNTIFS(Tenders!$L$6:$L$105,"Won",Tenders!$N$6:$N$105,"&gt;="&amp;DATE(YEAR(TODAY()),MONTH(TODAY()),1),Tenders!$N$6:$N$105,"&lt;"&amp;DATE(YEAR(TODAY()),MONTH(TODAY())+1,1)))</f>
        <v>0</v>
      </c>
      <c r="F61" s="29"/>
      <c r="G61" s="29" t="n">
        <f aca="true">(COUNTIFS(Quotes!$I$6:$I$305,"Lost",Quotes!$J$6:$J$305,"&gt;="&amp;DATE(YEAR(TODAY()),MONTH(TODAY()),1),Quotes!$J$6:$J$305,"&lt;"&amp;DATE(YEAR(TODAY()),MONTH(TODAY())+1,1))+COUNTIFS(Tenders!$L$6:$L$105,"Lost",Tenders!$N$6:$N$105,"&gt;="&amp;DATE(YEAR(TODAY()),MONTH(TODAY()),1),Tenders!$N$6:$N$105,"&lt;"&amp;DATE(YEAR(TODAY()),MONTH(TODAY())+1,1)))</f>
        <v>0</v>
      </c>
      <c r="H61" s="29"/>
    </row>
    <row r="62" customFormat="false" ht="15" hidden="false" customHeight="true" outlineLevel="0" collapsed="false">
      <c r="A62" s="18" t="s">
        <v>95</v>
      </c>
      <c r="B62" s="18"/>
      <c r="C62" s="18" t="s">
        <v>96</v>
      </c>
      <c r="D62" s="18"/>
      <c r="E62" s="30" t="s">
        <v>97</v>
      </c>
      <c r="F62" s="30"/>
      <c r="G62" s="30"/>
      <c r="H62" s="30"/>
    </row>
    <row r="63" customFormat="false" ht="30" hidden="false" customHeight="true" outlineLevel="0" collapsed="false">
      <c r="A63" s="31" t="str">
        <f aca="true">IF((COUNTIFS(Quotes!$I$6:$I$305,"Won",Quotes!$J$6:$J$305,"&gt;="&amp;DATE(YEAR(TODAY()),MONTH(TODAY()),1),Quotes!$J$6:$J$305,"&lt;"&amp;DATE(YEAR(TODAY()),MONTH(TODAY())+1,1))+COUNTIFS(Tenders!$L$6:$L$105,"Won",Tenders!$N$6:$N$105,"&gt;="&amp;DATE(YEAR(TODAY()),MONTH(TODAY()),1),Tenders!$N$6:$N$105,"&lt;"&amp;DATE(YEAR(TODAY()),MONTH(TODAY())+1,1)))+(COUNTIFS(Quotes!$I$6:$I$305,"Lost",Quotes!$J$6:$J$305,"&gt;="&amp;DATE(YEAR(TODAY()),MONTH(TODAY()),1),Quotes!$J$6:$J$305,"&lt;"&amp;DATE(YEAR(TODAY()),MONTH(TODAY())+1,1))+COUNTIFS(Tenders!$L$6:$L$105,"Lost",Tenders!$N$6:$N$105,"&gt;="&amp;DATE(YEAR(TODAY()),MONTH(TODAY()),1),Tenders!$N$6:$N$105,"&lt;"&amp;DATE(YEAR(TODAY()),MONTH(TODAY())+1,1)))=0,"–",(COUNTIFS(Quotes!$I$6:$I$305,"Won",Quotes!$J$6:$J$305,"&gt;="&amp;DATE(YEAR(TODAY()),MONTH(TODAY()),1),Quotes!$J$6:$J$305,"&lt;"&amp;DATE(YEAR(TODAY()),MONTH(TODAY())+1,1))+COUNTIFS(Tenders!$L$6:$L$105,"Won",Tenders!$N$6:$N$105,"&gt;="&amp;DATE(YEAR(TODAY()),MONTH(TODAY()),1),Tenders!$N$6:$N$105,"&lt;"&amp;DATE(YEAR(TODAY()),MONTH(TODAY())+1,1)))/((COUNTIFS(Quotes!$I$6:$I$305,"Won",Quotes!$J$6:$J$305,"&gt;="&amp;DATE(YEAR(TODAY()),MONTH(TODAY()),1),Quotes!$J$6:$J$305,"&lt;"&amp;DATE(YEAR(TODAY()),MONTH(TODAY())+1,1))+COUNTIFS(Tenders!$L$6:$L$105,"Won",Tenders!$N$6:$N$105,"&gt;="&amp;DATE(YEAR(TODAY()),MONTH(TODAY()),1),Tenders!$N$6:$N$105,"&lt;"&amp;DATE(YEAR(TODAY()),MONTH(TODAY())+1,1)))+(COUNTIFS(Quotes!$I$6:$I$305,"Lost",Quotes!$J$6:$J$305,"&gt;="&amp;DATE(YEAR(TODAY()),MONTH(TODAY()),1),Quotes!$J$6:$J$305,"&lt;"&amp;DATE(YEAR(TODAY()),MONTH(TODAY())+1,1))+COUNTIFS(Tenders!$L$6:$L$105,"Lost",Tenders!$N$6:$N$105,"&gt;="&amp;DATE(YEAR(TODAY()),MONTH(TODAY()),1),Tenders!$N$6:$N$105,"&lt;"&amp;DATE(YEAR(TODAY()),MONTH(TODAY())+1,1)))))</f>
        <v>–</v>
      </c>
      <c r="B63" s="31"/>
      <c r="C63" s="32" t="n">
        <f aca="true">SUMIFS(Quotes!$N$6:$N$305,Quotes!$J$6:$J$305,"&gt;="&amp;DATE(YEAR(TODAY()),MONTH(TODAY()),1),Quotes!$J$6:$J$305,"&lt;"&amp;DATE(YEAR(TODAY()),MONTH(TODAY())+1,1))+SUMIFS(Tenders!$E$6:$E$105,Tenders!$L$6:$L$105,"Won",Tenders!$N$6:$N$105,"&gt;="&amp;DATE(YEAR(TODAY()),MONTH(TODAY()),1),Tenders!$N$6:$N$105,"&lt;"&amp;DATE(YEAR(TODAY()),MONTH(TODAY())+1,1))</f>
        <v>0</v>
      </c>
      <c r="D63" s="32"/>
      <c r="E63" s="30"/>
      <c r="F63" s="30"/>
      <c r="G63" s="30"/>
      <c r="H63" s="30"/>
    </row>
  </sheetData>
  <sheetProtection sheet="true" formatColumns="false" formatRows="false" sort="false" autoFilter="false"/>
  <mergeCells count="27">
    <mergeCell ref="A5:H5"/>
    <mergeCell ref="A6:H6"/>
    <mergeCell ref="A7:H7"/>
    <mergeCell ref="A9:B9"/>
    <mergeCell ref="C9:D9"/>
    <mergeCell ref="E9:F9"/>
    <mergeCell ref="G9:H9"/>
    <mergeCell ref="A10:B10"/>
    <mergeCell ref="C10:D10"/>
    <mergeCell ref="E10:F10"/>
    <mergeCell ref="G10:H10"/>
    <mergeCell ref="A29:H29"/>
    <mergeCell ref="A43:H43"/>
    <mergeCell ref="A57:H57"/>
    <mergeCell ref="A60:B60"/>
    <mergeCell ref="C60:D60"/>
    <mergeCell ref="E60:F60"/>
    <mergeCell ref="G60:H60"/>
    <mergeCell ref="A61:B61"/>
    <mergeCell ref="C61:D61"/>
    <mergeCell ref="E61:F61"/>
    <mergeCell ref="G61:H61"/>
    <mergeCell ref="A62:B62"/>
    <mergeCell ref="C62:D62"/>
    <mergeCell ref="E62:H63"/>
    <mergeCell ref="A63:B63"/>
    <mergeCell ref="C63:D63"/>
  </mergeCells>
  <conditionalFormatting sqref="A10:B10">
    <cfRule type="expression" priority="2" aboveAverage="0" equalAverage="0" bottom="0" percent="0" rank="0" text="" dxfId="0">
      <formula>$A$10&gt;0</formula>
    </cfRule>
  </conditionalFormatting>
  <conditionalFormatting sqref="C10:D10">
    <cfRule type="expression" priority="3" aboveAverage="0" equalAverage="0" bottom="0" percent="0" rank="0" text="" dxfId="0">
      <formula>$C$10&gt;0</formula>
    </cfRule>
  </conditionalFormatting>
  <conditionalFormatting sqref="E10:F10">
    <cfRule type="expression" priority="4" aboveAverage="0" equalAverage="0" bottom="0" percent="0" rank="0" text="" dxfId="0">
      <formula>$E$10&gt;0</formula>
    </cfRule>
  </conditionalFormatting>
  <conditionalFormatting sqref="G10:H10">
    <cfRule type="expression" priority="5" aboveAverage="0" equalAverage="0" bottom="0" percent="0" rank="0" text="" dxfId="0">
      <formula>$G$10&gt;0</formula>
    </cfRule>
  </conditionalFormatting>
  <conditionalFormatting sqref="A14:H28">
    <cfRule type="expression" priority="6" aboveAverage="0" equalAverage="0" bottom="0" percent="0" rank="0" text="" dxfId="1">
      <formula>AND($J14&lt;&gt;"",$B14&lt;&gt;"Due today")</formula>
    </cfRule>
    <cfRule type="expression" priority="7" aboveAverage="0" equalAverage="0" bottom="0" percent="0" rank="0" text="" dxfId="2">
      <formula>$J14&lt;&gt;""</formula>
    </cfRule>
  </conditionalFormatting>
  <conditionalFormatting sqref="A33:H42">
    <cfRule type="expression" priority="8" aboveAverage="0" equalAverage="0" bottom="0" percent="0" rank="0" text="" dxfId="3">
      <formula>AND($J33&lt;&gt;"",ISNUMBER($B33),$B33&lt;=Lists!$N$5)</formula>
    </cfRule>
    <cfRule type="expression" priority="9" aboveAverage="0" equalAverage="0" bottom="0" percent="0" rank="0" text="" dxfId="4">
      <formula>$J33&lt;&gt;""</formula>
    </cfRule>
  </conditionalFormatting>
  <conditionalFormatting sqref="A47:H56">
    <cfRule type="expression" priority="10" aboveAverage="0" equalAverage="0" bottom="0" percent="0" rank="0" text="" dxfId="3">
      <formula>AND($J47&lt;&gt;"",$B47&gt;Lists!$N$7)</formula>
    </cfRule>
    <cfRule type="expression" priority="11" aboveAverage="0" equalAverage="0" bottom="0" percent="0" rank="0" text="" dxfId="5">
      <formula>$J47&lt;&gt;""</formula>
    </cfRule>
  </conditionalFormatting>
  <printOptions headings="false" gridLines="false" gridLinesSet="true" horizontalCentered="fals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26"/>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4"/>
    <col collapsed="false" customWidth="true" hidden="false" outlineLevel="0" max="8" min="8" style="0" width="14"/>
    <col collapsed="false" customWidth="true" hidden="false" outlineLevel="0" max="9" min="9" style="0" width="24"/>
    <col collapsed="false" customWidth="true" hidden="false" outlineLevel="0" max="10" min="10" style="0" width="20"/>
    <col collapsed="false" customWidth="true" hidden="false" outlineLevel="0" max="11" min="11" style="0" width="22"/>
    <col collapsed="false" customWidth="true" hidden="false" outlineLevel="0" max="12" min="12" style="0" width="11"/>
    <col collapsed="false" customWidth="true" hidden="false" outlineLevel="0" max="13" min="13" style="0" width="22"/>
    <col collapsed="false" customWidth="true" hidden="false" outlineLevel="0" max="14" min="14" style="0" width="15"/>
    <col collapsed="false" customWidth="true" hidden="false" outlineLevel="0" max="15" min="15" style="0" width="12"/>
    <col collapsed="false" customWidth="true" hidden="false" outlineLevel="0" max="16" min="16" style="0" width="26"/>
    <col collapsed="false" customWidth="true" hidden="false" outlineLevel="0" max="17" min="17" style="0" width="12"/>
    <col collapsed="false" customWidth="true" hidden="false" outlineLevel="0" max="18" min="18" style="0" width="12.5"/>
    <col collapsed="false" customWidth="true" hidden="false" outlineLevel="0" max="19" min="19" style="0" width="17"/>
    <col collapsed="false" customWidth="true" hidden="false" outlineLevel="0" max="20" min="20" style="0" width="11"/>
    <col collapsed="false" customWidth="true" hidden="false" outlineLevel="0" max="21" min="21" style="0" width="30"/>
    <col collapsed="false" customWidth="true" hidden="true" outlineLevel="0" max="23" min="22" style="0" width="4"/>
  </cols>
  <sheetData>
    <row r="1" customFormat="false" ht="19.7" hidden="false" customHeight="false" outlineLevel="0" collapsed="false">
      <c r="A1" s="33" t="str">
        <f>'Start here'!$B$1&amp;" – LEADS (PIPELINE)"</f>
        <v>[COMPANY NAME] – LEADS (PIPELINE)</v>
      </c>
    </row>
    <row r="2" customFormat="false" ht="15" hidden="false" customHeight="false" outlineLevel="0" collapsed="false">
      <c r="A2" s="16" t="s">
        <v>99</v>
      </c>
    </row>
    <row r="3" customFormat="false" ht="15" hidden="false" customHeight="true" outlineLevel="0" collapsed="false">
      <c r="A3" s="34" t="s">
        <v>100</v>
      </c>
      <c r="B3" s="34"/>
      <c r="C3" s="34"/>
      <c r="D3" s="34"/>
      <c r="E3" s="34"/>
      <c r="F3" s="34"/>
      <c r="G3" s="34"/>
      <c r="H3" s="34"/>
      <c r="I3" s="34" t="s">
        <v>101</v>
      </c>
      <c r="J3" s="34"/>
      <c r="K3" s="34"/>
      <c r="L3" s="34"/>
      <c r="M3" s="34"/>
      <c r="N3" s="34" t="s">
        <v>102</v>
      </c>
      <c r="O3" s="34"/>
      <c r="P3" s="34"/>
      <c r="Q3" s="34"/>
      <c r="R3" s="34"/>
      <c r="S3" s="34"/>
      <c r="T3" s="34" t="s">
        <v>103</v>
      </c>
      <c r="U3" s="34"/>
    </row>
    <row r="4" customFormat="false" ht="42" hidden="false" customHeight="true" outlineLevel="0" collapsed="false">
      <c r="A4" s="20" t="s">
        <v>70</v>
      </c>
      <c r="B4" s="20" t="s">
        <v>104</v>
      </c>
      <c r="C4" s="20" t="s">
        <v>71</v>
      </c>
      <c r="D4" s="20" t="s">
        <v>105</v>
      </c>
      <c r="E4" s="20" t="s">
        <v>106</v>
      </c>
      <c r="F4" s="20" t="s">
        <v>107</v>
      </c>
      <c r="G4" s="20" t="s">
        <v>108</v>
      </c>
      <c r="H4" s="20" t="s">
        <v>73</v>
      </c>
      <c r="I4" s="20" t="s">
        <v>109</v>
      </c>
      <c r="J4" s="20" t="s">
        <v>110</v>
      </c>
      <c r="K4" s="20" t="s">
        <v>111</v>
      </c>
      <c r="L4" s="20" t="s">
        <v>112</v>
      </c>
      <c r="M4" s="35" t="s">
        <v>113</v>
      </c>
      <c r="N4" s="20" t="s">
        <v>75</v>
      </c>
      <c r="O4" s="20" t="s">
        <v>114</v>
      </c>
      <c r="P4" s="20" t="s">
        <v>74</v>
      </c>
      <c r="Q4" s="20" t="s">
        <v>115</v>
      </c>
      <c r="R4" s="35" t="s">
        <v>116</v>
      </c>
      <c r="S4" s="35" t="s">
        <v>117</v>
      </c>
      <c r="T4" s="20" t="s">
        <v>118</v>
      </c>
      <c r="U4" s="20" t="s">
        <v>119</v>
      </c>
      <c r="V4" s="35" t="s">
        <v>120</v>
      </c>
      <c r="W4" s="35" t="s">
        <v>121</v>
      </c>
    </row>
    <row r="5" customFormat="false" ht="79.5" hidden="false" customHeight="true" outlineLevel="0" collapsed="false">
      <c r="A5" s="36" t="s">
        <v>122</v>
      </c>
      <c r="B5" s="36" t="s">
        <v>123</v>
      </c>
      <c r="C5" s="36" t="s">
        <v>124</v>
      </c>
      <c r="D5" s="36" t="s">
        <v>125</v>
      </c>
      <c r="E5" s="36" t="s">
        <v>126</v>
      </c>
      <c r="F5" s="36" t="s">
        <v>127</v>
      </c>
      <c r="G5" s="36" t="s">
        <v>128</v>
      </c>
      <c r="H5" s="36" t="s">
        <v>129</v>
      </c>
      <c r="I5" s="36" t="s">
        <v>130</v>
      </c>
      <c r="J5" s="36" t="s">
        <v>131</v>
      </c>
      <c r="K5" s="36" t="s">
        <v>132</v>
      </c>
      <c r="L5" s="36" t="s">
        <v>133</v>
      </c>
      <c r="M5" s="37" t="s">
        <v>134</v>
      </c>
      <c r="N5" s="36" t="s">
        <v>135</v>
      </c>
      <c r="O5" s="36" t="s">
        <v>136</v>
      </c>
      <c r="P5" s="36" t="s">
        <v>137</v>
      </c>
      <c r="Q5" s="36" t="s">
        <v>138</v>
      </c>
      <c r="R5" s="37" t="s">
        <v>139</v>
      </c>
      <c r="S5" s="37" t="s">
        <v>140</v>
      </c>
      <c r="T5" s="36" t="s">
        <v>141</v>
      </c>
      <c r="U5" s="36" t="s">
        <v>142</v>
      </c>
      <c r="V5" s="37"/>
      <c r="W5" s="37"/>
    </row>
    <row r="6" customFormat="false" ht="27.75" hidden="false" customHeight="true" outlineLevel="0" collapsed="false">
      <c r="A6" s="38"/>
      <c r="B6" s="39"/>
      <c r="C6" s="38"/>
      <c r="D6" s="38"/>
      <c r="E6" s="38"/>
      <c r="F6" s="38"/>
      <c r="G6" s="38"/>
      <c r="H6" s="40"/>
      <c r="I6" s="38"/>
      <c r="J6" s="38"/>
      <c r="K6" s="38"/>
      <c r="L6" s="41"/>
      <c r="M6" s="42" t="str">
        <f aca="false">IF(C6="","",IF(W6=1,"NO – opted out. Do not email.",IF(I6="","Pick a contact type",IF(LEFT(I6,4)="Sole",IF(OR(LEFT(J6,7)="Consent",LEFT(J6,4)="Soft"),"Yes – add opt-out + privacy link",IF(LEFT(J6,8)="Contract","Reply about their enquiry only","NO – needs consent first (PECR)")),"Yes – add opt-out + privacy link"))))</f>
        <v/>
      </c>
      <c r="N6" s="38"/>
      <c r="O6" s="39"/>
      <c r="P6" s="38"/>
      <c r="Q6" s="39"/>
      <c r="R6" s="43" t="str">
        <f aca="false">IF(C6="","",IF(Q6&lt;&gt;"",Q6,IF(OR(W6=1,N6="Won",N6="Lost",N6="Parked"),"",IF(O6&lt;&gt;"",O6+Lists!$N$2,IF(B6&lt;&gt;"",B6+Lists!$N$2,"")))))</f>
        <v/>
      </c>
      <c r="S6" s="42" t="str">
        <f aca="true">IF(C6="","",IF(W6=1,"Grey – do not email",IF(N6="Won","Won",IF(OR(N6="Lost",N6="Parked"),"Closed",IF(R6="","Amber – add next action",IF(R6&lt;TODAY(),"Red – overdue",IF(R6=TODAY(),"Red – due today",IF(R6-TODAY()&lt;=Lists!$N$3,"Amber – due soon","Green – on track"))))))))</f>
        <v/>
      </c>
      <c r="T6" s="44"/>
      <c r="U6" s="38"/>
      <c r="V6" s="42" t="str">
        <f aca="true">IF(OR(C6="",W6=1,N6="Won",N6="Lost"),"",IF(ISNUMBER(R6),IF(R6&lt;=TODAY(),R6+ROW()/100000,""),""))</f>
        <v/>
      </c>
      <c r="W6" s="42" t="n">
        <f aca="false">IF(OR(L6="Y",AND(G6&lt;&gt;"",COUNTIF('Do not contact'!$A$6:$A$505,G6)&gt;0)),1,0)</f>
        <v>0</v>
      </c>
    </row>
    <row r="7" customFormat="false" ht="27.75" hidden="false" customHeight="true" outlineLevel="0" collapsed="false">
      <c r="A7" s="38"/>
      <c r="B7" s="39"/>
      <c r="C7" s="38"/>
      <c r="D7" s="38"/>
      <c r="E7" s="38"/>
      <c r="F7" s="38"/>
      <c r="G7" s="38"/>
      <c r="H7" s="40"/>
      <c r="I7" s="38"/>
      <c r="J7" s="38"/>
      <c r="K7" s="38"/>
      <c r="L7" s="41"/>
      <c r="M7" s="42" t="str">
        <f aca="false">IF(C7="","",IF(W7=1,"NO – opted out. Do not email.",IF(I7="","Pick a contact type",IF(LEFT(I7,4)="Sole",IF(OR(LEFT(J7,7)="Consent",LEFT(J7,4)="Soft"),"Yes – add opt-out + privacy link",IF(LEFT(J7,8)="Contract","Reply about their enquiry only","NO – needs consent first (PECR)")),"Yes – add opt-out + privacy link"))))</f>
        <v/>
      </c>
      <c r="N7" s="38"/>
      <c r="O7" s="39"/>
      <c r="P7" s="38"/>
      <c r="Q7" s="39"/>
      <c r="R7" s="43" t="str">
        <f aca="false">IF(C7="","",IF(Q7&lt;&gt;"",Q7,IF(OR(W7=1,N7="Won",N7="Lost",N7="Parked"),"",IF(O7&lt;&gt;"",O7+Lists!$N$2,IF(B7&lt;&gt;"",B7+Lists!$N$2,"")))))</f>
        <v/>
      </c>
      <c r="S7" s="42" t="str">
        <f aca="true">IF(C7="","",IF(W7=1,"Grey – do not email",IF(N7="Won","Won",IF(OR(N7="Lost",N7="Parked"),"Closed",IF(R7="","Amber – add next action",IF(R7&lt;TODAY(),"Red – overdue",IF(R7=TODAY(),"Red – due today",IF(R7-TODAY()&lt;=Lists!$N$3,"Amber – due soon","Green – on track"))))))))</f>
        <v/>
      </c>
      <c r="T7" s="44"/>
      <c r="U7" s="38"/>
      <c r="V7" s="42" t="str">
        <f aca="true">IF(OR(C7="",W7=1,N7="Won",N7="Lost"),"",IF(ISNUMBER(R7),IF(R7&lt;=TODAY(),R7+ROW()/100000,""),""))</f>
        <v/>
      </c>
      <c r="W7" s="42" t="n">
        <f aca="false">IF(OR(L7="Y",AND(G7&lt;&gt;"",COUNTIF('Do not contact'!$A$6:$A$505,G7)&gt;0)),1,0)</f>
        <v>0</v>
      </c>
    </row>
    <row r="8" customFormat="false" ht="27.75" hidden="false" customHeight="true" outlineLevel="0" collapsed="false">
      <c r="A8" s="38"/>
      <c r="B8" s="39"/>
      <c r="C8" s="38"/>
      <c r="D8" s="38"/>
      <c r="E8" s="38"/>
      <c r="F8" s="38"/>
      <c r="G8" s="38"/>
      <c r="H8" s="40"/>
      <c r="I8" s="38"/>
      <c r="J8" s="38"/>
      <c r="K8" s="38"/>
      <c r="L8" s="41"/>
      <c r="M8" s="42" t="str">
        <f aca="false">IF(C8="","",IF(W8=1,"NO – opted out. Do not email.",IF(I8="","Pick a contact type",IF(LEFT(I8,4)="Sole",IF(OR(LEFT(J8,7)="Consent",LEFT(J8,4)="Soft"),"Yes – add opt-out + privacy link",IF(LEFT(J8,8)="Contract","Reply about their enquiry only","NO – needs consent first (PECR)")),"Yes – add opt-out + privacy link"))))</f>
        <v/>
      </c>
      <c r="N8" s="38"/>
      <c r="O8" s="39"/>
      <c r="P8" s="38"/>
      <c r="Q8" s="39"/>
      <c r="R8" s="43" t="str">
        <f aca="false">IF(C8="","",IF(Q8&lt;&gt;"",Q8,IF(OR(W8=1,N8="Won",N8="Lost",N8="Parked"),"",IF(O8&lt;&gt;"",O8+Lists!$N$2,IF(B8&lt;&gt;"",B8+Lists!$N$2,"")))))</f>
        <v/>
      </c>
      <c r="S8" s="42" t="str">
        <f aca="true">IF(C8="","",IF(W8=1,"Grey – do not email",IF(N8="Won","Won",IF(OR(N8="Lost",N8="Parked"),"Closed",IF(R8="","Amber – add next action",IF(R8&lt;TODAY(),"Red – overdue",IF(R8=TODAY(),"Red – due today",IF(R8-TODAY()&lt;=Lists!$N$3,"Amber – due soon","Green – on track"))))))))</f>
        <v/>
      </c>
      <c r="T8" s="44"/>
      <c r="U8" s="38"/>
      <c r="V8" s="42" t="str">
        <f aca="true">IF(OR(C8="",W8=1,N8="Won",N8="Lost"),"",IF(ISNUMBER(R8),IF(R8&lt;=TODAY(),R8+ROW()/100000,""),""))</f>
        <v/>
      </c>
      <c r="W8" s="42" t="n">
        <f aca="false">IF(OR(L8="Y",AND(G8&lt;&gt;"",COUNTIF('Do not contact'!$A$6:$A$505,G8)&gt;0)),1,0)</f>
        <v>0</v>
      </c>
    </row>
    <row r="9" customFormat="false" ht="27.75" hidden="false" customHeight="true" outlineLevel="0" collapsed="false">
      <c r="A9" s="38"/>
      <c r="B9" s="39"/>
      <c r="C9" s="38"/>
      <c r="D9" s="38"/>
      <c r="E9" s="38"/>
      <c r="F9" s="38"/>
      <c r="G9" s="38"/>
      <c r="H9" s="40"/>
      <c r="I9" s="38"/>
      <c r="J9" s="38"/>
      <c r="K9" s="38"/>
      <c r="L9" s="41"/>
      <c r="M9" s="42" t="str">
        <f aca="false">IF(C9="","",IF(W9=1,"NO – opted out. Do not email.",IF(I9="","Pick a contact type",IF(LEFT(I9,4)="Sole",IF(OR(LEFT(J9,7)="Consent",LEFT(J9,4)="Soft"),"Yes – add opt-out + privacy link",IF(LEFT(J9,8)="Contract","Reply about their enquiry only","NO – needs consent first (PECR)")),"Yes – add opt-out + privacy link"))))</f>
        <v/>
      </c>
      <c r="N9" s="38"/>
      <c r="O9" s="39"/>
      <c r="P9" s="38"/>
      <c r="Q9" s="39"/>
      <c r="R9" s="43" t="str">
        <f aca="false">IF(C9="","",IF(Q9&lt;&gt;"",Q9,IF(OR(W9=1,N9="Won",N9="Lost",N9="Parked"),"",IF(O9&lt;&gt;"",O9+Lists!$N$2,IF(B9&lt;&gt;"",B9+Lists!$N$2,"")))))</f>
        <v/>
      </c>
      <c r="S9" s="42" t="str">
        <f aca="true">IF(C9="","",IF(W9=1,"Grey – do not email",IF(N9="Won","Won",IF(OR(N9="Lost",N9="Parked"),"Closed",IF(R9="","Amber – add next action",IF(R9&lt;TODAY(),"Red – overdue",IF(R9=TODAY(),"Red – due today",IF(R9-TODAY()&lt;=Lists!$N$3,"Amber – due soon","Green – on track"))))))))</f>
        <v/>
      </c>
      <c r="T9" s="44"/>
      <c r="U9" s="38"/>
      <c r="V9" s="42" t="str">
        <f aca="true">IF(OR(C9="",W9=1,N9="Won",N9="Lost"),"",IF(ISNUMBER(R9),IF(R9&lt;=TODAY(),R9+ROW()/100000,""),""))</f>
        <v/>
      </c>
      <c r="W9" s="42" t="n">
        <f aca="false">IF(OR(L9="Y",AND(G9&lt;&gt;"",COUNTIF('Do not contact'!$A$6:$A$505,G9)&gt;0)),1,0)</f>
        <v>0</v>
      </c>
    </row>
    <row r="10" customFormat="false" ht="27.75" hidden="false" customHeight="true" outlineLevel="0" collapsed="false">
      <c r="A10" s="38"/>
      <c r="B10" s="39"/>
      <c r="C10" s="38"/>
      <c r="D10" s="38"/>
      <c r="E10" s="38"/>
      <c r="F10" s="38"/>
      <c r="G10" s="38"/>
      <c r="H10" s="40"/>
      <c r="I10" s="38"/>
      <c r="J10" s="38"/>
      <c r="K10" s="38"/>
      <c r="L10" s="41"/>
      <c r="M10" s="42" t="str">
        <f aca="false">IF(C10="","",IF(W10=1,"NO – opted out. Do not email.",IF(I10="","Pick a contact type",IF(LEFT(I10,4)="Sole",IF(OR(LEFT(J10,7)="Consent",LEFT(J10,4)="Soft"),"Yes – add opt-out + privacy link",IF(LEFT(J10,8)="Contract","Reply about their enquiry only","NO – needs consent first (PECR)")),"Yes – add opt-out + privacy link"))))</f>
        <v/>
      </c>
      <c r="N10" s="38"/>
      <c r="O10" s="39"/>
      <c r="P10" s="38"/>
      <c r="Q10" s="39"/>
      <c r="R10" s="43" t="str">
        <f aca="false">IF(C10="","",IF(Q10&lt;&gt;"",Q10,IF(OR(W10=1,N10="Won",N10="Lost",N10="Parked"),"",IF(O10&lt;&gt;"",O10+Lists!$N$2,IF(B10&lt;&gt;"",B10+Lists!$N$2,"")))))</f>
        <v/>
      </c>
      <c r="S10" s="42" t="str">
        <f aca="true">IF(C10="","",IF(W10=1,"Grey – do not email",IF(N10="Won","Won",IF(OR(N10="Lost",N10="Parked"),"Closed",IF(R10="","Amber – add next action",IF(R10&lt;TODAY(),"Red – overdue",IF(R10=TODAY(),"Red – due today",IF(R10-TODAY()&lt;=Lists!$N$3,"Amber – due soon","Green – on track"))))))))</f>
        <v/>
      </c>
      <c r="T10" s="44"/>
      <c r="U10" s="38"/>
      <c r="V10" s="42" t="str">
        <f aca="true">IF(OR(C10="",W10=1,N10="Won",N10="Lost"),"",IF(ISNUMBER(R10),IF(R10&lt;=TODAY(),R10+ROW()/100000,""),""))</f>
        <v/>
      </c>
      <c r="W10" s="42" t="n">
        <f aca="false">IF(OR(L10="Y",AND(G10&lt;&gt;"",COUNTIF('Do not contact'!$A$6:$A$505,G10)&gt;0)),1,0)</f>
        <v>0</v>
      </c>
    </row>
    <row r="11" customFormat="false" ht="27.75" hidden="false" customHeight="true" outlineLevel="0" collapsed="false">
      <c r="A11" s="38"/>
      <c r="B11" s="39"/>
      <c r="C11" s="38"/>
      <c r="D11" s="38"/>
      <c r="E11" s="38"/>
      <c r="F11" s="38"/>
      <c r="G11" s="38"/>
      <c r="H11" s="40"/>
      <c r="I11" s="38"/>
      <c r="J11" s="38"/>
      <c r="K11" s="38"/>
      <c r="L11" s="41"/>
      <c r="M11" s="42" t="str">
        <f aca="false">IF(C11="","",IF(W11=1,"NO – opted out. Do not email.",IF(I11="","Pick a contact type",IF(LEFT(I11,4)="Sole",IF(OR(LEFT(J11,7)="Consent",LEFT(J11,4)="Soft"),"Yes – add opt-out + privacy link",IF(LEFT(J11,8)="Contract","Reply about their enquiry only","NO – needs consent first (PECR)")),"Yes – add opt-out + privacy link"))))</f>
        <v/>
      </c>
      <c r="N11" s="38"/>
      <c r="O11" s="39"/>
      <c r="P11" s="38"/>
      <c r="Q11" s="39"/>
      <c r="R11" s="43" t="str">
        <f aca="false">IF(C11="","",IF(Q11&lt;&gt;"",Q11,IF(OR(W11=1,N11="Won",N11="Lost",N11="Parked"),"",IF(O11&lt;&gt;"",O11+Lists!$N$2,IF(B11&lt;&gt;"",B11+Lists!$N$2,"")))))</f>
        <v/>
      </c>
      <c r="S11" s="42" t="str">
        <f aca="true">IF(C11="","",IF(W11=1,"Grey – do not email",IF(N11="Won","Won",IF(OR(N11="Lost",N11="Parked"),"Closed",IF(R11="","Amber – add next action",IF(R11&lt;TODAY(),"Red – overdue",IF(R11=TODAY(),"Red – due today",IF(R11-TODAY()&lt;=Lists!$N$3,"Amber – due soon","Green – on track"))))))))</f>
        <v/>
      </c>
      <c r="T11" s="44"/>
      <c r="U11" s="38"/>
      <c r="V11" s="42" t="str">
        <f aca="true">IF(OR(C11="",W11=1,N11="Won",N11="Lost"),"",IF(ISNUMBER(R11),IF(R11&lt;=TODAY(),R11+ROW()/100000,""),""))</f>
        <v/>
      </c>
      <c r="W11" s="42" t="n">
        <f aca="false">IF(OR(L11="Y",AND(G11&lt;&gt;"",COUNTIF('Do not contact'!$A$6:$A$505,G11)&gt;0)),1,0)</f>
        <v>0</v>
      </c>
    </row>
    <row r="12" customFormat="false" ht="27.75" hidden="false" customHeight="true" outlineLevel="0" collapsed="false">
      <c r="A12" s="38"/>
      <c r="B12" s="39"/>
      <c r="C12" s="38"/>
      <c r="D12" s="38"/>
      <c r="E12" s="38"/>
      <c r="F12" s="38"/>
      <c r="G12" s="38"/>
      <c r="H12" s="40"/>
      <c r="I12" s="38"/>
      <c r="J12" s="38"/>
      <c r="K12" s="38"/>
      <c r="L12" s="41"/>
      <c r="M12" s="42" t="str">
        <f aca="false">IF(C12="","",IF(W12=1,"NO – opted out. Do not email.",IF(I12="","Pick a contact type",IF(LEFT(I12,4)="Sole",IF(OR(LEFT(J12,7)="Consent",LEFT(J12,4)="Soft"),"Yes – add opt-out + privacy link",IF(LEFT(J12,8)="Contract","Reply about their enquiry only","NO – needs consent first (PECR)")),"Yes – add opt-out + privacy link"))))</f>
        <v/>
      </c>
      <c r="N12" s="38"/>
      <c r="O12" s="39"/>
      <c r="P12" s="38"/>
      <c r="Q12" s="39"/>
      <c r="R12" s="43" t="str">
        <f aca="false">IF(C12="","",IF(Q12&lt;&gt;"",Q12,IF(OR(W12=1,N12="Won",N12="Lost",N12="Parked"),"",IF(O12&lt;&gt;"",O12+Lists!$N$2,IF(B12&lt;&gt;"",B12+Lists!$N$2,"")))))</f>
        <v/>
      </c>
      <c r="S12" s="42" t="str">
        <f aca="true">IF(C12="","",IF(W12=1,"Grey – do not email",IF(N12="Won","Won",IF(OR(N12="Lost",N12="Parked"),"Closed",IF(R12="","Amber – add next action",IF(R12&lt;TODAY(),"Red – overdue",IF(R12=TODAY(),"Red – due today",IF(R12-TODAY()&lt;=Lists!$N$3,"Amber – due soon","Green – on track"))))))))</f>
        <v/>
      </c>
      <c r="T12" s="44"/>
      <c r="U12" s="38"/>
      <c r="V12" s="42" t="str">
        <f aca="true">IF(OR(C12="",W12=1,N12="Won",N12="Lost"),"",IF(ISNUMBER(R12),IF(R12&lt;=TODAY(),R12+ROW()/100000,""),""))</f>
        <v/>
      </c>
      <c r="W12" s="42" t="n">
        <f aca="false">IF(OR(L12="Y",AND(G12&lt;&gt;"",COUNTIF('Do not contact'!$A$6:$A$505,G12)&gt;0)),1,0)</f>
        <v>0</v>
      </c>
    </row>
    <row r="13" customFormat="false" ht="27.75" hidden="false" customHeight="true" outlineLevel="0" collapsed="false">
      <c r="A13" s="38"/>
      <c r="B13" s="39"/>
      <c r="C13" s="38"/>
      <c r="D13" s="38"/>
      <c r="E13" s="38"/>
      <c r="F13" s="38"/>
      <c r="G13" s="38"/>
      <c r="H13" s="40"/>
      <c r="I13" s="38"/>
      <c r="J13" s="38"/>
      <c r="K13" s="38"/>
      <c r="L13" s="41"/>
      <c r="M13" s="42" t="str">
        <f aca="false">IF(C13="","",IF(W13=1,"NO – opted out. Do not email.",IF(I13="","Pick a contact type",IF(LEFT(I13,4)="Sole",IF(OR(LEFT(J13,7)="Consent",LEFT(J13,4)="Soft"),"Yes – add opt-out + privacy link",IF(LEFT(J13,8)="Contract","Reply about their enquiry only","NO – needs consent first (PECR)")),"Yes – add opt-out + privacy link"))))</f>
        <v/>
      </c>
      <c r="N13" s="38"/>
      <c r="O13" s="39"/>
      <c r="P13" s="38"/>
      <c r="Q13" s="39"/>
      <c r="R13" s="43" t="str">
        <f aca="false">IF(C13="","",IF(Q13&lt;&gt;"",Q13,IF(OR(W13=1,N13="Won",N13="Lost",N13="Parked"),"",IF(O13&lt;&gt;"",O13+Lists!$N$2,IF(B13&lt;&gt;"",B13+Lists!$N$2,"")))))</f>
        <v/>
      </c>
      <c r="S13" s="42" t="str">
        <f aca="true">IF(C13="","",IF(W13=1,"Grey – do not email",IF(N13="Won","Won",IF(OR(N13="Lost",N13="Parked"),"Closed",IF(R13="","Amber – add next action",IF(R13&lt;TODAY(),"Red – overdue",IF(R13=TODAY(),"Red – due today",IF(R13-TODAY()&lt;=Lists!$N$3,"Amber – due soon","Green – on track"))))))))</f>
        <v/>
      </c>
      <c r="T13" s="44"/>
      <c r="U13" s="38"/>
      <c r="V13" s="42" t="str">
        <f aca="true">IF(OR(C13="",W13=1,N13="Won",N13="Lost"),"",IF(ISNUMBER(R13),IF(R13&lt;=TODAY(),R13+ROW()/100000,""),""))</f>
        <v/>
      </c>
      <c r="W13" s="42" t="n">
        <f aca="false">IF(OR(L13="Y",AND(G13&lt;&gt;"",COUNTIF('Do not contact'!$A$6:$A$505,G13)&gt;0)),1,0)</f>
        <v>0</v>
      </c>
    </row>
    <row r="14" customFormat="false" ht="27.75" hidden="false" customHeight="true" outlineLevel="0" collapsed="false">
      <c r="A14" s="38"/>
      <c r="B14" s="39"/>
      <c r="C14" s="38"/>
      <c r="D14" s="38"/>
      <c r="E14" s="38"/>
      <c r="F14" s="38"/>
      <c r="G14" s="38"/>
      <c r="H14" s="40"/>
      <c r="I14" s="38"/>
      <c r="J14" s="38"/>
      <c r="K14" s="38"/>
      <c r="L14" s="41"/>
      <c r="M14" s="42" t="str">
        <f aca="false">IF(C14="","",IF(W14=1,"NO – opted out. Do not email.",IF(I14="","Pick a contact type",IF(LEFT(I14,4)="Sole",IF(OR(LEFT(J14,7)="Consent",LEFT(J14,4)="Soft"),"Yes – add opt-out + privacy link",IF(LEFT(J14,8)="Contract","Reply about their enquiry only","NO – needs consent first (PECR)")),"Yes – add opt-out + privacy link"))))</f>
        <v/>
      </c>
      <c r="N14" s="38"/>
      <c r="O14" s="39"/>
      <c r="P14" s="38"/>
      <c r="Q14" s="39"/>
      <c r="R14" s="43" t="str">
        <f aca="false">IF(C14="","",IF(Q14&lt;&gt;"",Q14,IF(OR(W14=1,N14="Won",N14="Lost",N14="Parked"),"",IF(O14&lt;&gt;"",O14+Lists!$N$2,IF(B14&lt;&gt;"",B14+Lists!$N$2,"")))))</f>
        <v/>
      </c>
      <c r="S14" s="42" t="str">
        <f aca="true">IF(C14="","",IF(W14=1,"Grey – do not email",IF(N14="Won","Won",IF(OR(N14="Lost",N14="Parked"),"Closed",IF(R14="","Amber – add next action",IF(R14&lt;TODAY(),"Red – overdue",IF(R14=TODAY(),"Red – due today",IF(R14-TODAY()&lt;=Lists!$N$3,"Amber – due soon","Green – on track"))))))))</f>
        <v/>
      </c>
      <c r="T14" s="44"/>
      <c r="U14" s="38"/>
      <c r="V14" s="42" t="str">
        <f aca="true">IF(OR(C14="",W14=1,N14="Won",N14="Lost"),"",IF(ISNUMBER(R14),IF(R14&lt;=TODAY(),R14+ROW()/100000,""),""))</f>
        <v/>
      </c>
      <c r="W14" s="42" t="n">
        <f aca="false">IF(OR(L14="Y",AND(G14&lt;&gt;"",COUNTIF('Do not contact'!$A$6:$A$505,G14)&gt;0)),1,0)</f>
        <v>0</v>
      </c>
    </row>
    <row r="15" customFormat="false" ht="27.75" hidden="false" customHeight="true" outlineLevel="0" collapsed="false">
      <c r="A15" s="38"/>
      <c r="B15" s="39"/>
      <c r="C15" s="38"/>
      <c r="D15" s="38"/>
      <c r="E15" s="38"/>
      <c r="F15" s="38"/>
      <c r="G15" s="38"/>
      <c r="H15" s="40"/>
      <c r="I15" s="38"/>
      <c r="J15" s="38"/>
      <c r="K15" s="38"/>
      <c r="L15" s="41"/>
      <c r="M15" s="42" t="str">
        <f aca="false">IF(C15="","",IF(W15=1,"NO – opted out. Do not email.",IF(I15="","Pick a contact type",IF(LEFT(I15,4)="Sole",IF(OR(LEFT(J15,7)="Consent",LEFT(J15,4)="Soft"),"Yes – add opt-out + privacy link",IF(LEFT(J15,8)="Contract","Reply about their enquiry only","NO – needs consent first (PECR)")),"Yes – add opt-out + privacy link"))))</f>
        <v/>
      </c>
      <c r="N15" s="38"/>
      <c r="O15" s="39"/>
      <c r="P15" s="38"/>
      <c r="Q15" s="39"/>
      <c r="R15" s="43" t="str">
        <f aca="false">IF(C15="","",IF(Q15&lt;&gt;"",Q15,IF(OR(W15=1,N15="Won",N15="Lost",N15="Parked"),"",IF(O15&lt;&gt;"",O15+Lists!$N$2,IF(B15&lt;&gt;"",B15+Lists!$N$2,"")))))</f>
        <v/>
      </c>
      <c r="S15" s="42" t="str">
        <f aca="true">IF(C15="","",IF(W15=1,"Grey – do not email",IF(N15="Won","Won",IF(OR(N15="Lost",N15="Parked"),"Closed",IF(R15="","Amber – add next action",IF(R15&lt;TODAY(),"Red – overdue",IF(R15=TODAY(),"Red – due today",IF(R15-TODAY()&lt;=Lists!$N$3,"Amber – due soon","Green – on track"))))))))</f>
        <v/>
      </c>
      <c r="T15" s="44"/>
      <c r="U15" s="38"/>
      <c r="V15" s="42" t="str">
        <f aca="true">IF(OR(C15="",W15=1,N15="Won",N15="Lost"),"",IF(ISNUMBER(R15),IF(R15&lt;=TODAY(),R15+ROW()/100000,""),""))</f>
        <v/>
      </c>
      <c r="W15" s="42" t="n">
        <f aca="false">IF(OR(L15="Y",AND(G15&lt;&gt;"",COUNTIF('Do not contact'!$A$6:$A$505,G15)&gt;0)),1,0)</f>
        <v>0</v>
      </c>
    </row>
    <row r="16" customFormat="false" ht="27.75" hidden="false" customHeight="true" outlineLevel="0" collapsed="false">
      <c r="A16" s="38"/>
      <c r="B16" s="39"/>
      <c r="C16" s="38"/>
      <c r="D16" s="38"/>
      <c r="E16" s="38"/>
      <c r="F16" s="38"/>
      <c r="G16" s="38"/>
      <c r="H16" s="40"/>
      <c r="I16" s="38"/>
      <c r="J16" s="38"/>
      <c r="K16" s="38"/>
      <c r="L16" s="41"/>
      <c r="M16" s="42" t="str">
        <f aca="false">IF(C16="","",IF(W16=1,"NO – opted out. Do not email.",IF(I16="","Pick a contact type",IF(LEFT(I16,4)="Sole",IF(OR(LEFT(J16,7)="Consent",LEFT(J16,4)="Soft"),"Yes – add opt-out + privacy link",IF(LEFT(J16,8)="Contract","Reply about their enquiry only","NO – needs consent first (PECR)")),"Yes – add opt-out + privacy link"))))</f>
        <v/>
      </c>
      <c r="N16" s="38"/>
      <c r="O16" s="39"/>
      <c r="P16" s="38"/>
      <c r="Q16" s="39"/>
      <c r="R16" s="43" t="str">
        <f aca="false">IF(C16="","",IF(Q16&lt;&gt;"",Q16,IF(OR(W16=1,N16="Won",N16="Lost",N16="Parked"),"",IF(O16&lt;&gt;"",O16+Lists!$N$2,IF(B16&lt;&gt;"",B16+Lists!$N$2,"")))))</f>
        <v/>
      </c>
      <c r="S16" s="42" t="str">
        <f aca="true">IF(C16="","",IF(W16=1,"Grey – do not email",IF(N16="Won","Won",IF(OR(N16="Lost",N16="Parked"),"Closed",IF(R16="","Amber – add next action",IF(R16&lt;TODAY(),"Red – overdue",IF(R16=TODAY(),"Red – due today",IF(R16-TODAY()&lt;=Lists!$N$3,"Amber – due soon","Green – on track"))))))))</f>
        <v/>
      </c>
      <c r="T16" s="44"/>
      <c r="U16" s="38"/>
      <c r="V16" s="42" t="str">
        <f aca="true">IF(OR(C16="",W16=1,N16="Won",N16="Lost"),"",IF(ISNUMBER(R16),IF(R16&lt;=TODAY(),R16+ROW()/100000,""),""))</f>
        <v/>
      </c>
      <c r="W16" s="42" t="n">
        <f aca="false">IF(OR(L16="Y",AND(G16&lt;&gt;"",COUNTIF('Do not contact'!$A$6:$A$505,G16)&gt;0)),1,0)</f>
        <v>0</v>
      </c>
    </row>
    <row r="17" customFormat="false" ht="27.75" hidden="false" customHeight="true" outlineLevel="0" collapsed="false">
      <c r="A17" s="38"/>
      <c r="B17" s="39"/>
      <c r="C17" s="38"/>
      <c r="D17" s="38"/>
      <c r="E17" s="38"/>
      <c r="F17" s="38"/>
      <c r="G17" s="38"/>
      <c r="H17" s="40"/>
      <c r="I17" s="38"/>
      <c r="J17" s="38"/>
      <c r="K17" s="38"/>
      <c r="L17" s="41"/>
      <c r="M17" s="42" t="str">
        <f aca="false">IF(C17="","",IF(W17=1,"NO – opted out. Do not email.",IF(I17="","Pick a contact type",IF(LEFT(I17,4)="Sole",IF(OR(LEFT(J17,7)="Consent",LEFT(J17,4)="Soft"),"Yes – add opt-out + privacy link",IF(LEFT(J17,8)="Contract","Reply about their enquiry only","NO – needs consent first (PECR)")),"Yes – add opt-out + privacy link"))))</f>
        <v/>
      </c>
      <c r="N17" s="38"/>
      <c r="O17" s="39"/>
      <c r="P17" s="38"/>
      <c r="Q17" s="39"/>
      <c r="R17" s="43" t="str">
        <f aca="false">IF(C17="","",IF(Q17&lt;&gt;"",Q17,IF(OR(W17=1,N17="Won",N17="Lost",N17="Parked"),"",IF(O17&lt;&gt;"",O17+Lists!$N$2,IF(B17&lt;&gt;"",B17+Lists!$N$2,"")))))</f>
        <v/>
      </c>
      <c r="S17" s="42" t="str">
        <f aca="true">IF(C17="","",IF(W17=1,"Grey – do not email",IF(N17="Won","Won",IF(OR(N17="Lost",N17="Parked"),"Closed",IF(R17="","Amber – add next action",IF(R17&lt;TODAY(),"Red – overdue",IF(R17=TODAY(),"Red – due today",IF(R17-TODAY()&lt;=Lists!$N$3,"Amber – due soon","Green – on track"))))))))</f>
        <v/>
      </c>
      <c r="T17" s="44"/>
      <c r="U17" s="38"/>
      <c r="V17" s="42" t="str">
        <f aca="true">IF(OR(C17="",W17=1,N17="Won",N17="Lost"),"",IF(ISNUMBER(R17),IF(R17&lt;=TODAY(),R17+ROW()/100000,""),""))</f>
        <v/>
      </c>
      <c r="W17" s="42" t="n">
        <f aca="false">IF(OR(L17="Y",AND(G17&lt;&gt;"",COUNTIF('Do not contact'!$A$6:$A$505,G17)&gt;0)),1,0)</f>
        <v>0</v>
      </c>
    </row>
    <row r="18" customFormat="false" ht="27.75" hidden="false" customHeight="true" outlineLevel="0" collapsed="false">
      <c r="A18" s="38"/>
      <c r="B18" s="39"/>
      <c r="C18" s="38"/>
      <c r="D18" s="38"/>
      <c r="E18" s="38"/>
      <c r="F18" s="38"/>
      <c r="G18" s="38"/>
      <c r="H18" s="40"/>
      <c r="I18" s="38"/>
      <c r="J18" s="38"/>
      <c r="K18" s="38"/>
      <c r="L18" s="41"/>
      <c r="M18" s="42" t="str">
        <f aca="false">IF(C18="","",IF(W18=1,"NO – opted out. Do not email.",IF(I18="","Pick a contact type",IF(LEFT(I18,4)="Sole",IF(OR(LEFT(J18,7)="Consent",LEFT(J18,4)="Soft"),"Yes – add opt-out + privacy link",IF(LEFT(J18,8)="Contract","Reply about their enquiry only","NO – needs consent first (PECR)")),"Yes – add opt-out + privacy link"))))</f>
        <v/>
      </c>
      <c r="N18" s="38"/>
      <c r="O18" s="39"/>
      <c r="P18" s="38"/>
      <c r="Q18" s="39"/>
      <c r="R18" s="43" t="str">
        <f aca="false">IF(C18="","",IF(Q18&lt;&gt;"",Q18,IF(OR(W18=1,N18="Won",N18="Lost",N18="Parked"),"",IF(O18&lt;&gt;"",O18+Lists!$N$2,IF(B18&lt;&gt;"",B18+Lists!$N$2,"")))))</f>
        <v/>
      </c>
      <c r="S18" s="42" t="str">
        <f aca="true">IF(C18="","",IF(W18=1,"Grey – do not email",IF(N18="Won","Won",IF(OR(N18="Lost",N18="Parked"),"Closed",IF(R18="","Amber – add next action",IF(R18&lt;TODAY(),"Red – overdue",IF(R18=TODAY(),"Red – due today",IF(R18-TODAY()&lt;=Lists!$N$3,"Amber – due soon","Green – on track"))))))))</f>
        <v/>
      </c>
      <c r="T18" s="44"/>
      <c r="U18" s="38"/>
      <c r="V18" s="42" t="str">
        <f aca="true">IF(OR(C18="",W18=1,N18="Won",N18="Lost"),"",IF(ISNUMBER(R18),IF(R18&lt;=TODAY(),R18+ROW()/100000,""),""))</f>
        <v/>
      </c>
      <c r="W18" s="42" t="n">
        <f aca="false">IF(OR(L18="Y",AND(G18&lt;&gt;"",COUNTIF('Do not contact'!$A$6:$A$505,G18)&gt;0)),1,0)</f>
        <v>0</v>
      </c>
    </row>
    <row r="19" customFormat="false" ht="27.75" hidden="false" customHeight="true" outlineLevel="0" collapsed="false">
      <c r="A19" s="38"/>
      <c r="B19" s="39"/>
      <c r="C19" s="38"/>
      <c r="D19" s="38"/>
      <c r="E19" s="38"/>
      <c r="F19" s="38"/>
      <c r="G19" s="38"/>
      <c r="H19" s="40"/>
      <c r="I19" s="38"/>
      <c r="J19" s="38"/>
      <c r="K19" s="38"/>
      <c r="L19" s="41"/>
      <c r="M19" s="42" t="str">
        <f aca="false">IF(C19="","",IF(W19=1,"NO – opted out. Do not email.",IF(I19="","Pick a contact type",IF(LEFT(I19,4)="Sole",IF(OR(LEFT(J19,7)="Consent",LEFT(J19,4)="Soft"),"Yes – add opt-out + privacy link",IF(LEFT(J19,8)="Contract","Reply about their enquiry only","NO – needs consent first (PECR)")),"Yes – add opt-out + privacy link"))))</f>
        <v/>
      </c>
      <c r="N19" s="38"/>
      <c r="O19" s="39"/>
      <c r="P19" s="38"/>
      <c r="Q19" s="39"/>
      <c r="R19" s="43" t="str">
        <f aca="false">IF(C19="","",IF(Q19&lt;&gt;"",Q19,IF(OR(W19=1,N19="Won",N19="Lost",N19="Parked"),"",IF(O19&lt;&gt;"",O19+Lists!$N$2,IF(B19&lt;&gt;"",B19+Lists!$N$2,"")))))</f>
        <v/>
      </c>
      <c r="S19" s="42" t="str">
        <f aca="true">IF(C19="","",IF(W19=1,"Grey – do not email",IF(N19="Won","Won",IF(OR(N19="Lost",N19="Parked"),"Closed",IF(R19="","Amber – add next action",IF(R19&lt;TODAY(),"Red – overdue",IF(R19=TODAY(),"Red – due today",IF(R19-TODAY()&lt;=Lists!$N$3,"Amber – due soon","Green – on track"))))))))</f>
        <v/>
      </c>
      <c r="T19" s="44"/>
      <c r="U19" s="38"/>
      <c r="V19" s="42" t="str">
        <f aca="true">IF(OR(C19="",W19=1,N19="Won",N19="Lost"),"",IF(ISNUMBER(R19),IF(R19&lt;=TODAY(),R19+ROW()/100000,""),""))</f>
        <v/>
      </c>
      <c r="W19" s="42" t="n">
        <f aca="false">IF(OR(L19="Y",AND(G19&lt;&gt;"",COUNTIF('Do not contact'!$A$6:$A$505,G19)&gt;0)),1,0)</f>
        <v>0</v>
      </c>
    </row>
    <row r="20" customFormat="false" ht="27.75" hidden="false" customHeight="true" outlineLevel="0" collapsed="false">
      <c r="A20" s="38"/>
      <c r="B20" s="39"/>
      <c r="C20" s="38"/>
      <c r="D20" s="38"/>
      <c r="E20" s="38"/>
      <c r="F20" s="38"/>
      <c r="G20" s="38"/>
      <c r="H20" s="40"/>
      <c r="I20" s="38"/>
      <c r="J20" s="38"/>
      <c r="K20" s="38"/>
      <c r="L20" s="41"/>
      <c r="M20" s="42" t="str">
        <f aca="false">IF(C20="","",IF(W20=1,"NO – opted out. Do not email.",IF(I20="","Pick a contact type",IF(LEFT(I20,4)="Sole",IF(OR(LEFT(J20,7)="Consent",LEFT(J20,4)="Soft"),"Yes – add opt-out + privacy link",IF(LEFT(J20,8)="Contract","Reply about their enquiry only","NO – needs consent first (PECR)")),"Yes – add opt-out + privacy link"))))</f>
        <v/>
      </c>
      <c r="N20" s="38"/>
      <c r="O20" s="39"/>
      <c r="P20" s="38"/>
      <c r="Q20" s="39"/>
      <c r="R20" s="43" t="str">
        <f aca="false">IF(C20="","",IF(Q20&lt;&gt;"",Q20,IF(OR(W20=1,N20="Won",N20="Lost",N20="Parked"),"",IF(O20&lt;&gt;"",O20+Lists!$N$2,IF(B20&lt;&gt;"",B20+Lists!$N$2,"")))))</f>
        <v/>
      </c>
      <c r="S20" s="42" t="str">
        <f aca="true">IF(C20="","",IF(W20=1,"Grey – do not email",IF(N20="Won","Won",IF(OR(N20="Lost",N20="Parked"),"Closed",IF(R20="","Amber – add next action",IF(R20&lt;TODAY(),"Red – overdue",IF(R20=TODAY(),"Red – due today",IF(R20-TODAY()&lt;=Lists!$N$3,"Amber – due soon","Green – on track"))))))))</f>
        <v/>
      </c>
      <c r="T20" s="44"/>
      <c r="U20" s="38"/>
      <c r="V20" s="42" t="str">
        <f aca="true">IF(OR(C20="",W20=1,N20="Won",N20="Lost"),"",IF(ISNUMBER(R20),IF(R20&lt;=TODAY(),R20+ROW()/100000,""),""))</f>
        <v/>
      </c>
      <c r="W20" s="42" t="n">
        <f aca="false">IF(OR(L20="Y",AND(G20&lt;&gt;"",COUNTIF('Do not contact'!$A$6:$A$505,G20)&gt;0)),1,0)</f>
        <v>0</v>
      </c>
    </row>
    <row r="21" customFormat="false" ht="27.75" hidden="false" customHeight="true" outlineLevel="0" collapsed="false">
      <c r="A21" s="38"/>
      <c r="B21" s="39"/>
      <c r="C21" s="38"/>
      <c r="D21" s="38"/>
      <c r="E21" s="38"/>
      <c r="F21" s="38"/>
      <c r="G21" s="38"/>
      <c r="H21" s="40"/>
      <c r="I21" s="38"/>
      <c r="J21" s="38"/>
      <c r="K21" s="38"/>
      <c r="L21" s="41"/>
      <c r="M21" s="42" t="str">
        <f aca="false">IF(C21="","",IF(W21=1,"NO – opted out. Do not email.",IF(I21="","Pick a contact type",IF(LEFT(I21,4)="Sole",IF(OR(LEFT(J21,7)="Consent",LEFT(J21,4)="Soft"),"Yes – add opt-out + privacy link",IF(LEFT(J21,8)="Contract","Reply about their enquiry only","NO – needs consent first (PECR)")),"Yes – add opt-out + privacy link"))))</f>
        <v/>
      </c>
      <c r="N21" s="38"/>
      <c r="O21" s="39"/>
      <c r="P21" s="38"/>
      <c r="Q21" s="39"/>
      <c r="R21" s="43" t="str">
        <f aca="false">IF(C21="","",IF(Q21&lt;&gt;"",Q21,IF(OR(W21=1,N21="Won",N21="Lost",N21="Parked"),"",IF(O21&lt;&gt;"",O21+Lists!$N$2,IF(B21&lt;&gt;"",B21+Lists!$N$2,"")))))</f>
        <v/>
      </c>
      <c r="S21" s="42" t="str">
        <f aca="true">IF(C21="","",IF(W21=1,"Grey – do not email",IF(N21="Won","Won",IF(OR(N21="Lost",N21="Parked"),"Closed",IF(R21="","Amber – add next action",IF(R21&lt;TODAY(),"Red – overdue",IF(R21=TODAY(),"Red – due today",IF(R21-TODAY()&lt;=Lists!$N$3,"Amber – due soon","Green – on track"))))))))</f>
        <v/>
      </c>
      <c r="T21" s="44"/>
      <c r="U21" s="38"/>
      <c r="V21" s="42" t="str">
        <f aca="true">IF(OR(C21="",W21=1,N21="Won",N21="Lost"),"",IF(ISNUMBER(R21),IF(R21&lt;=TODAY(),R21+ROW()/100000,""),""))</f>
        <v/>
      </c>
      <c r="W21" s="42" t="n">
        <f aca="false">IF(OR(L21="Y",AND(G21&lt;&gt;"",COUNTIF('Do not contact'!$A$6:$A$505,G21)&gt;0)),1,0)</f>
        <v>0</v>
      </c>
    </row>
    <row r="22" customFormat="false" ht="27.75" hidden="false" customHeight="true" outlineLevel="0" collapsed="false">
      <c r="A22" s="38"/>
      <c r="B22" s="39"/>
      <c r="C22" s="38"/>
      <c r="D22" s="38"/>
      <c r="E22" s="38"/>
      <c r="F22" s="38"/>
      <c r="G22" s="38"/>
      <c r="H22" s="40"/>
      <c r="I22" s="38"/>
      <c r="J22" s="38"/>
      <c r="K22" s="38"/>
      <c r="L22" s="41"/>
      <c r="M22" s="42" t="str">
        <f aca="false">IF(C22="","",IF(W22=1,"NO – opted out. Do not email.",IF(I22="","Pick a contact type",IF(LEFT(I22,4)="Sole",IF(OR(LEFT(J22,7)="Consent",LEFT(J22,4)="Soft"),"Yes – add opt-out + privacy link",IF(LEFT(J22,8)="Contract","Reply about their enquiry only","NO – needs consent first (PECR)")),"Yes – add opt-out + privacy link"))))</f>
        <v/>
      </c>
      <c r="N22" s="38"/>
      <c r="O22" s="39"/>
      <c r="P22" s="38"/>
      <c r="Q22" s="39"/>
      <c r="R22" s="43" t="str">
        <f aca="false">IF(C22="","",IF(Q22&lt;&gt;"",Q22,IF(OR(W22=1,N22="Won",N22="Lost",N22="Parked"),"",IF(O22&lt;&gt;"",O22+Lists!$N$2,IF(B22&lt;&gt;"",B22+Lists!$N$2,"")))))</f>
        <v/>
      </c>
      <c r="S22" s="42" t="str">
        <f aca="true">IF(C22="","",IF(W22=1,"Grey – do not email",IF(N22="Won","Won",IF(OR(N22="Lost",N22="Parked"),"Closed",IF(R22="","Amber – add next action",IF(R22&lt;TODAY(),"Red – overdue",IF(R22=TODAY(),"Red – due today",IF(R22-TODAY()&lt;=Lists!$N$3,"Amber – due soon","Green – on track"))))))))</f>
        <v/>
      </c>
      <c r="T22" s="44"/>
      <c r="U22" s="38"/>
      <c r="V22" s="42" t="str">
        <f aca="true">IF(OR(C22="",W22=1,N22="Won",N22="Lost"),"",IF(ISNUMBER(R22),IF(R22&lt;=TODAY(),R22+ROW()/100000,""),""))</f>
        <v/>
      </c>
      <c r="W22" s="42" t="n">
        <f aca="false">IF(OR(L22="Y",AND(G22&lt;&gt;"",COUNTIF('Do not contact'!$A$6:$A$505,G22)&gt;0)),1,0)</f>
        <v>0</v>
      </c>
    </row>
    <row r="23" customFormat="false" ht="27.75" hidden="false" customHeight="true" outlineLevel="0" collapsed="false">
      <c r="A23" s="38"/>
      <c r="B23" s="39"/>
      <c r="C23" s="38"/>
      <c r="D23" s="38"/>
      <c r="E23" s="38"/>
      <c r="F23" s="38"/>
      <c r="G23" s="38"/>
      <c r="H23" s="40"/>
      <c r="I23" s="38"/>
      <c r="J23" s="38"/>
      <c r="K23" s="38"/>
      <c r="L23" s="41"/>
      <c r="M23" s="42" t="str">
        <f aca="false">IF(C23="","",IF(W23=1,"NO – opted out. Do not email.",IF(I23="","Pick a contact type",IF(LEFT(I23,4)="Sole",IF(OR(LEFT(J23,7)="Consent",LEFT(J23,4)="Soft"),"Yes – add opt-out + privacy link",IF(LEFT(J23,8)="Contract","Reply about their enquiry only","NO – needs consent first (PECR)")),"Yes – add opt-out + privacy link"))))</f>
        <v/>
      </c>
      <c r="N23" s="38"/>
      <c r="O23" s="39"/>
      <c r="P23" s="38"/>
      <c r="Q23" s="39"/>
      <c r="R23" s="43" t="str">
        <f aca="false">IF(C23="","",IF(Q23&lt;&gt;"",Q23,IF(OR(W23=1,N23="Won",N23="Lost",N23="Parked"),"",IF(O23&lt;&gt;"",O23+Lists!$N$2,IF(B23&lt;&gt;"",B23+Lists!$N$2,"")))))</f>
        <v/>
      </c>
      <c r="S23" s="42" t="str">
        <f aca="true">IF(C23="","",IF(W23=1,"Grey – do not email",IF(N23="Won","Won",IF(OR(N23="Lost",N23="Parked"),"Closed",IF(R23="","Amber – add next action",IF(R23&lt;TODAY(),"Red – overdue",IF(R23=TODAY(),"Red – due today",IF(R23-TODAY()&lt;=Lists!$N$3,"Amber – due soon","Green – on track"))))))))</f>
        <v/>
      </c>
      <c r="T23" s="44"/>
      <c r="U23" s="38"/>
      <c r="V23" s="42" t="str">
        <f aca="true">IF(OR(C23="",W23=1,N23="Won",N23="Lost"),"",IF(ISNUMBER(R23),IF(R23&lt;=TODAY(),R23+ROW()/100000,""),""))</f>
        <v/>
      </c>
      <c r="W23" s="42" t="n">
        <f aca="false">IF(OR(L23="Y",AND(G23&lt;&gt;"",COUNTIF('Do not contact'!$A$6:$A$505,G23)&gt;0)),1,0)</f>
        <v>0</v>
      </c>
    </row>
    <row r="24" customFormat="false" ht="27.75" hidden="false" customHeight="true" outlineLevel="0" collapsed="false">
      <c r="A24" s="38"/>
      <c r="B24" s="39"/>
      <c r="C24" s="38"/>
      <c r="D24" s="38"/>
      <c r="E24" s="38"/>
      <c r="F24" s="38"/>
      <c r="G24" s="38"/>
      <c r="H24" s="40"/>
      <c r="I24" s="38"/>
      <c r="J24" s="38"/>
      <c r="K24" s="38"/>
      <c r="L24" s="41"/>
      <c r="M24" s="42" t="str">
        <f aca="false">IF(C24="","",IF(W24=1,"NO – opted out. Do not email.",IF(I24="","Pick a contact type",IF(LEFT(I24,4)="Sole",IF(OR(LEFT(J24,7)="Consent",LEFT(J24,4)="Soft"),"Yes – add opt-out + privacy link",IF(LEFT(J24,8)="Contract","Reply about their enquiry only","NO – needs consent first (PECR)")),"Yes – add opt-out + privacy link"))))</f>
        <v/>
      </c>
      <c r="N24" s="38"/>
      <c r="O24" s="39"/>
      <c r="P24" s="38"/>
      <c r="Q24" s="39"/>
      <c r="R24" s="43" t="str">
        <f aca="false">IF(C24="","",IF(Q24&lt;&gt;"",Q24,IF(OR(W24=1,N24="Won",N24="Lost",N24="Parked"),"",IF(O24&lt;&gt;"",O24+Lists!$N$2,IF(B24&lt;&gt;"",B24+Lists!$N$2,"")))))</f>
        <v/>
      </c>
      <c r="S24" s="42" t="str">
        <f aca="true">IF(C24="","",IF(W24=1,"Grey – do not email",IF(N24="Won","Won",IF(OR(N24="Lost",N24="Parked"),"Closed",IF(R24="","Amber – add next action",IF(R24&lt;TODAY(),"Red – overdue",IF(R24=TODAY(),"Red – due today",IF(R24-TODAY()&lt;=Lists!$N$3,"Amber – due soon","Green – on track"))))))))</f>
        <v/>
      </c>
      <c r="T24" s="44"/>
      <c r="U24" s="38"/>
      <c r="V24" s="42" t="str">
        <f aca="true">IF(OR(C24="",W24=1,N24="Won",N24="Lost"),"",IF(ISNUMBER(R24),IF(R24&lt;=TODAY(),R24+ROW()/100000,""),""))</f>
        <v/>
      </c>
      <c r="W24" s="42" t="n">
        <f aca="false">IF(OR(L24="Y",AND(G24&lt;&gt;"",COUNTIF('Do not contact'!$A$6:$A$505,G24)&gt;0)),1,0)</f>
        <v>0</v>
      </c>
    </row>
    <row r="25" customFormat="false" ht="27.75" hidden="false" customHeight="true" outlineLevel="0" collapsed="false">
      <c r="A25" s="38"/>
      <c r="B25" s="39"/>
      <c r="C25" s="38"/>
      <c r="D25" s="38"/>
      <c r="E25" s="38"/>
      <c r="F25" s="38"/>
      <c r="G25" s="38"/>
      <c r="H25" s="40"/>
      <c r="I25" s="38"/>
      <c r="J25" s="38"/>
      <c r="K25" s="38"/>
      <c r="L25" s="41"/>
      <c r="M25" s="42" t="str">
        <f aca="false">IF(C25="","",IF(W25=1,"NO – opted out. Do not email.",IF(I25="","Pick a contact type",IF(LEFT(I25,4)="Sole",IF(OR(LEFT(J25,7)="Consent",LEFT(J25,4)="Soft"),"Yes – add opt-out + privacy link",IF(LEFT(J25,8)="Contract","Reply about their enquiry only","NO – needs consent first (PECR)")),"Yes – add opt-out + privacy link"))))</f>
        <v/>
      </c>
      <c r="N25" s="38"/>
      <c r="O25" s="39"/>
      <c r="P25" s="38"/>
      <c r="Q25" s="39"/>
      <c r="R25" s="43" t="str">
        <f aca="false">IF(C25="","",IF(Q25&lt;&gt;"",Q25,IF(OR(W25=1,N25="Won",N25="Lost",N25="Parked"),"",IF(O25&lt;&gt;"",O25+Lists!$N$2,IF(B25&lt;&gt;"",B25+Lists!$N$2,"")))))</f>
        <v/>
      </c>
      <c r="S25" s="42" t="str">
        <f aca="true">IF(C25="","",IF(W25=1,"Grey – do not email",IF(N25="Won","Won",IF(OR(N25="Lost",N25="Parked"),"Closed",IF(R25="","Amber – add next action",IF(R25&lt;TODAY(),"Red – overdue",IF(R25=TODAY(),"Red – due today",IF(R25-TODAY()&lt;=Lists!$N$3,"Amber – due soon","Green – on track"))))))))</f>
        <v/>
      </c>
      <c r="T25" s="44"/>
      <c r="U25" s="38"/>
      <c r="V25" s="42" t="str">
        <f aca="true">IF(OR(C25="",W25=1,N25="Won",N25="Lost"),"",IF(ISNUMBER(R25),IF(R25&lt;=TODAY(),R25+ROW()/100000,""),""))</f>
        <v/>
      </c>
      <c r="W25" s="42" t="n">
        <f aca="false">IF(OR(L25="Y",AND(G25&lt;&gt;"",COUNTIF('Do not contact'!$A$6:$A$505,G25)&gt;0)),1,0)</f>
        <v>0</v>
      </c>
    </row>
    <row r="26" customFormat="false" ht="27.75" hidden="false" customHeight="true" outlineLevel="0" collapsed="false">
      <c r="A26" s="38"/>
      <c r="B26" s="39"/>
      <c r="C26" s="38"/>
      <c r="D26" s="38"/>
      <c r="E26" s="38"/>
      <c r="F26" s="38"/>
      <c r="G26" s="38"/>
      <c r="H26" s="40"/>
      <c r="I26" s="38"/>
      <c r="J26" s="38"/>
      <c r="K26" s="38"/>
      <c r="L26" s="41"/>
      <c r="M26" s="42" t="str">
        <f aca="false">IF(C26="","",IF(W26=1,"NO – opted out. Do not email.",IF(I26="","Pick a contact type",IF(LEFT(I26,4)="Sole",IF(OR(LEFT(J26,7)="Consent",LEFT(J26,4)="Soft"),"Yes – add opt-out + privacy link",IF(LEFT(J26,8)="Contract","Reply about their enquiry only","NO – needs consent first (PECR)")),"Yes – add opt-out + privacy link"))))</f>
        <v/>
      </c>
      <c r="N26" s="38"/>
      <c r="O26" s="39"/>
      <c r="P26" s="38"/>
      <c r="Q26" s="39"/>
      <c r="R26" s="43" t="str">
        <f aca="false">IF(C26="","",IF(Q26&lt;&gt;"",Q26,IF(OR(W26=1,N26="Won",N26="Lost",N26="Parked"),"",IF(O26&lt;&gt;"",O26+Lists!$N$2,IF(B26&lt;&gt;"",B26+Lists!$N$2,"")))))</f>
        <v/>
      </c>
      <c r="S26" s="42" t="str">
        <f aca="true">IF(C26="","",IF(W26=1,"Grey – do not email",IF(N26="Won","Won",IF(OR(N26="Lost",N26="Parked"),"Closed",IF(R26="","Amber – add next action",IF(R26&lt;TODAY(),"Red – overdue",IF(R26=TODAY(),"Red – due today",IF(R26-TODAY()&lt;=Lists!$N$3,"Amber – due soon","Green – on track"))))))))</f>
        <v/>
      </c>
      <c r="T26" s="44"/>
      <c r="U26" s="38"/>
      <c r="V26" s="42" t="str">
        <f aca="true">IF(OR(C26="",W26=1,N26="Won",N26="Lost"),"",IF(ISNUMBER(R26),IF(R26&lt;=TODAY(),R26+ROW()/100000,""),""))</f>
        <v/>
      </c>
      <c r="W26" s="42" t="n">
        <f aca="false">IF(OR(L26="Y",AND(G26&lt;&gt;"",COUNTIF('Do not contact'!$A$6:$A$505,G26)&gt;0)),1,0)</f>
        <v>0</v>
      </c>
    </row>
    <row r="27" customFormat="false" ht="27.75" hidden="false" customHeight="true" outlineLevel="0" collapsed="false">
      <c r="A27" s="38"/>
      <c r="B27" s="39"/>
      <c r="C27" s="38"/>
      <c r="D27" s="38"/>
      <c r="E27" s="38"/>
      <c r="F27" s="38"/>
      <c r="G27" s="38"/>
      <c r="H27" s="40"/>
      <c r="I27" s="38"/>
      <c r="J27" s="38"/>
      <c r="K27" s="38"/>
      <c r="L27" s="41"/>
      <c r="M27" s="42" t="str">
        <f aca="false">IF(C27="","",IF(W27=1,"NO – opted out. Do not email.",IF(I27="","Pick a contact type",IF(LEFT(I27,4)="Sole",IF(OR(LEFT(J27,7)="Consent",LEFT(J27,4)="Soft"),"Yes – add opt-out + privacy link",IF(LEFT(J27,8)="Contract","Reply about their enquiry only","NO – needs consent first (PECR)")),"Yes – add opt-out + privacy link"))))</f>
        <v/>
      </c>
      <c r="N27" s="38"/>
      <c r="O27" s="39"/>
      <c r="P27" s="38"/>
      <c r="Q27" s="39"/>
      <c r="R27" s="43" t="str">
        <f aca="false">IF(C27="","",IF(Q27&lt;&gt;"",Q27,IF(OR(W27=1,N27="Won",N27="Lost",N27="Parked"),"",IF(O27&lt;&gt;"",O27+Lists!$N$2,IF(B27&lt;&gt;"",B27+Lists!$N$2,"")))))</f>
        <v/>
      </c>
      <c r="S27" s="42" t="str">
        <f aca="true">IF(C27="","",IF(W27=1,"Grey – do not email",IF(N27="Won","Won",IF(OR(N27="Lost",N27="Parked"),"Closed",IF(R27="","Amber – add next action",IF(R27&lt;TODAY(),"Red – overdue",IF(R27=TODAY(),"Red – due today",IF(R27-TODAY()&lt;=Lists!$N$3,"Amber – due soon","Green – on track"))))))))</f>
        <v/>
      </c>
      <c r="T27" s="44"/>
      <c r="U27" s="38"/>
      <c r="V27" s="42" t="str">
        <f aca="true">IF(OR(C27="",W27=1,N27="Won",N27="Lost"),"",IF(ISNUMBER(R27),IF(R27&lt;=TODAY(),R27+ROW()/100000,""),""))</f>
        <v/>
      </c>
      <c r="W27" s="42" t="n">
        <f aca="false">IF(OR(L27="Y",AND(G27&lt;&gt;"",COUNTIF('Do not contact'!$A$6:$A$505,G27)&gt;0)),1,0)</f>
        <v>0</v>
      </c>
    </row>
    <row r="28" customFormat="false" ht="27.75" hidden="false" customHeight="true" outlineLevel="0" collapsed="false">
      <c r="A28" s="38"/>
      <c r="B28" s="39"/>
      <c r="C28" s="38"/>
      <c r="D28" s="38"/>
      <c r="E28" s="38"/>
      <c r="F28" s="38"/>
      <c r="G28" s="38"/>
      <c r="H28" s="40"/>
      <c r="I28" s="38"/>
      <c r="J28" s="38"/>
      <c r="K28" s="38"/>
      <c r="L28" s="41"/>
      <c r="M28" s="42" t="str">
        <f aca="false">IF(C28="","",IF(W28=1,"NO – opted out. Do not email.",IF(I28="","Pick a contact type",IF(LEFT(I28,4)="Sole",IF(OR(LEFT(J28,7)="Consent",LEFT(J28,4)="Soft"),"Yes – add opt-out + privacy link",IF(LEFT(J28,8)="Contract","Reply about their enquiry only","NO – needs consent first (PECR)")),"Yes – add opt-out + privacy link"))))</f>
        <v/>
      </c>
      <c r="N28" s="38"/>
      <c r="O28" s="39"/>
      <c r="P28" s="38"/>
      <c r="Q28" s="39"/>
      <c r="R28" s="43" t="str">
        <f aca="false">IF(C28="","",IF(Q28&lt;&gt;"",Q28,IF(OR(W28=1,N28="Won",N28="Lost",N28="Parked"),"",IF(O28&lt;&gt;"",O28+Lists!$N$2,IF(B28&lt;&gt;"",B28+Lists!$N$2,"")))))</f>
        <v/>
      </c>
      <c r="S28" s="42" t="str">
        <f aca="true">IF(C28="","",IF(W28=1,"Grey – do not email",IF(N28="Won","Won",IF(OR(N28="Lost",N28="Parked"),"Closed",IF(R28="","Amber – add next action",IF(R28&lt;TODAY(),"Red – overdue",IF(R28=TODAY(),"Red – due today",IF(R28-TODAY()&lt;=Lists!$N$3,"Amber – due soon","Green – on track"))))))))</f>
        <v/>
      </c>
      <c r="T28" s="44"/>
      <c r="U28" s="38"/>
      <c r="V28" s="42" t="str">
        <f aca="true">IF(OR(C28="",W28=1,N28="Won",N28="Lost"),"",IF(ISNUMBER(R28),IF(R28&lt;=TODAY(),R28+ROW()/100000,""),""))</f>
        <v/>
      </c>
      <c r="W28" s="42" t="n">
        <f aca="false">IF(OR(L28="Y",AND(G28&lt;&gt;"",COUNTIF('Do not contact'!$A$6:$A$505,G28)&gt;0)),1,0)</f>
        <v>0</v>
      </c>
    </row>
    <row r="29" customFormat="false" ht="27.75" hidden="false" customHeight="true" outlineLevel="0" collapsed="false">
      <c r="A29" s="38"/>
      <c r="B29" s="39"/>
      <c r="C29" s="38"/>
      <c r="D29" s="38"/>
      <c r="E29" s="38"/>
      <c r="F29" s="38"/>
      <c r="G29" s="38"/>
      <c r="H29" s="40"/>
      <c r="I29" s="38"/>
      <c r="J29" s="38"/>
      <c r="K29" s="38"/>
      <c r="L29" s="41"/>
      <c r="M29" s="42" t="str">
        <f aca="false">IF(C29="","",IF(W29=1,"NO – opted out. Do not email.",IF(I29="","Pick a contact type",IF(LEFT(I29,4)="Sole",IF(OR(LEFT(J29,7)="Consent",LEFT(J29,4)="Soft"),"Yes – add opt-out + privacy link",IF(LEFT(J29,8)="Contract","Reply about their enquiry only","NO – needs consent first (PECR)")),"Yes – add opt-out + privacy link"))))</f>
        <v/>
      </c>
      <c r="N29" s="38"/>
      <c r="O29" s="39"/>
      <c r="P29" s="38"/>
      <c r="Q29" s="39"/>
      <c r="R29" s="43" t="str">
        <f aca="false">IF(C29="","",IF(Q29&lt;&gt;"",Q29,IF(OR(W29=1,N29="Won",N29="Lost",N29="Parked"),"",IF(O29&lt;&gt;"",O29+Lists!$N$2,IF(B29&lt;&gt;"",B29+Lists!$N$2,"")))))</f>
        <v/>
      </c>
      <c r="S29" s="42" t="str">
        <f aca="true">IF(C29="","",IF(W29=1,"Grey – do not email",IF(N29="Won","Won",IF(OR(N29="Lost",N29="Parked"),"Closed",IF(R29="","Amber – add next action",IF(R29&lt;TODAY(),"Red – overdue",IF(R29=TODAY(),"Red – due today",IF(R29-TODAY()&lt;=Lists!$N$3,"Amber – due soon","Green – on track"))))))))</f>
        <v/>
      </c>
      <c r="T29" s="44"/>
      <c r="U29" s="38"/>
      <c r="V29" s="42" t="str">
        <f aca="true">IF(OR(C29="",W29=1,N29="Won",N29="Lost"),"",IF(ISNUMBER(R29),IF(R29&lt;=TODAY(),R29+ROW()/100000,""),""))</f>
        <v/>
      </c>
      <c r="W29" s="42" t="n">
        <f aca="false">IF(OR(L29="Y",AND(G29&lt;&gt;"",COUNTIF('Do not contact'!$A$6:$A$505,G29)&gt;0)),1,0)</f>
        <v>0</v>
      </c>
    </row>
    <row r="30" customFormat="false" ht="27.75" hidden="false" customHeight="true" outlineLevel="0" collapsed="false">
      <c r="A30" s="38"/>
      <c r="B30" s="39"/>
      <c r="C30" s="38"/>
      <c r="D30" s="38"/>
      <c r="E30" s="38"/>
      <c r="F30" s="38"/>
      <c r="G30" s="38"/>
      <c r="H30" s="40"/>
      <c r="I30" s="38"/>
      <c r="J30" s="38"/>
      <c r="K30" s="38"/>
      <c r="L30" s="41"/>
      <c r="M30" s="42" t="str">
        <f aca="false">IF(C30="","",IF(W30=1,"NO – opted out. Do not email.",IF(I30="","Pick a contact type",IF(LEFT(I30,4)="Sole",IF(OR(LEFT(J30,7)="Consent",LEFT(J30,4)="Soft"),"Yes – add opt-out + privacy link",IF(LEFT(J30,8)="Contract","Reply about their enquiry only","NO – needs consent first (PECR)")),"Yes – add opt-out + privacy link"))))</f>
        <v/>
      </c>
      <c r="N30" s="38"/>
      <c r="O30" s="39"/>
      <c r="P30" s="38"/>
      <c r="Q30" s="39"/>
      <c r="R30" s="43" t="str">
        <f aca="false">IF(C30="","",IF(Q30&lt;&gt;"",Q30,IF(OR(W30=1,N30="Won",N30="Lost",N30="Parked"),"",IF(O30&lt;&gt;"",O30+Lists!$N$2,IF(B30&lt;&gt;"",B30+Lists!$N$2,"")))))</f>
        <v/>
      </c>
      <c r="S30" s="42" t="str">
        <f aca="true">IF(C30="","",IF(W30=1,"Grey – do not email",IF(N30="Won","Won",IF(OR(N30="Lost",N30="Parked"),"Closed",IF(R30="","Amber – add next action",IF(R30&lt;TODAY(),"Red – overdue",IF(R30=TODAY(),"Red – due today",IF(R30-TODAY()&lt;=Lists!$N$3,"Amber – due soon","Green – on track"))))))))</f>
        <v/>
      </c>
      <c r="T30" s="44"/>
      <c r="U30" s="38"/>
      <c r="V30" s="42" t="str">
        <f aca="true">IF(OR(C30="",W30=1,N30="Won",N30="Lost"),"",IF(ISNUMBER(R30),IF(R30&lt;=TODAY(),R30+ROW()/100000,""),""))</f>
        <v/>
      </c>
      <c r="W30" s="42" t="n">
        <f aca="false">IF(OR(L30="Y",AND(G30&lt;&gt;"",COUNTIF('Do not contact'!$A$6:$A$505,G30)&gt;0)),1,0)</f>
        <v>0</v>
      </c>
    </row>
    <row r="31" customFormat="false" ht="27.75" hidden="false" customHeight="true" outlineLevel="0" collapsed="false">
      <c r="A31" s="38"/>
      <c r="B31" s="39"/>
      <c r="C31" s="38"/>
      <c r="D31" s="38"/>
      <c r="E31" s="38"/>
      <c r="F31" s="38"/>
      <c r="G31" s="38"/>
      <c r="H31" s="40"/>
      <c r="I31" s="38"/>
      <c r="J31" s="38"/>
      <c r="K31" s="38"/>
      <c r="L31" s="41"/>
      <c r="M31" s="42" t="str">
        <f aca="false">IF(C31="","",IF(W31=1,"NO – opted out. Do not email.",IF(I31="","Pick a contact type",IF(LEFT(I31,4)="Sole",IF(OR(LEFT(J31,7)="Consent",LEFT(J31,4)="Soft"),"Yes – add opt-out + privacy link",IF(LEFT(J31,8)="Contract","Reply about their enquiry only","NO – needs consent first (PECR)")),"Yes – add opt-out + privacy link"))))</f>
        <v/>
      </c>
      <c r="N31" s="38"/>
      <c r="O31" s="39"/>
      <c r="P31" s="38"/>
      <c r="Q31" s="39"/>
      <c r="R31" s="43" t="str">
        <f aca="false">IF(C31="","",IF(Q31&lt;&gt;"",Q31,IF(OR(W31=1,N31="Won",N31="Lost",N31="Parked"),"",IF(O31&lt;&gt;"",O31+Lists!$N$2,IF(B31&lt;&gt;"",B31+Lists!$N$2,"")))))</f>
        <v/>
      </c>
      <c r="S31" s="42" t="str">
        <f aca="true">IF(C31="","",IF(W31=1,"Grey – do not email",IF(N31="Won","Won",IF(OR(N31="Lost",N31="Parked"),"Closed",IF(R31="","Amber – add next action",IF(R31&lt;TODAY(),"Red – overdue",IF(R31=TODAY(),"Red – due today",IF(R31-TODAY()&lt;=Lists!$N$3,"Amber – due soon","Green – on track"))))))))</f>
        <v/>
      </c>
      <c r="T31" s="44"/>
      <c r="U31" s="38"/>
      <c r="V31" s="42" t="str">
        <f aca="true">IF(OR(C31="",W31=1,N31="Won",N31="Lost"),"",IF(ISNUMBER(R31),IF(R31&lt;=TODAY(),R31+ROW()/100000,""),""))</f>
        <v/>
      </c>
      <c r="W31" s="42" t="n">
        <f aca="false">IF(OR(L31="Y",AND(G31&lt;&gt;"",COUNTIF('Do not contact'!$A$6:$A$505,G31)&gt;0)),1,0)</f>
        <v>0</v>
      </c>
    </row>
    <row r="32" customFormat="false" ht="27.75" hidden="false" customHeight="true" outlineLevel="0" collapsed="false">
      <c r="A32" s="38"/>
      <c r="B32" s="39"/>
      <c r="C32" s="38"/>
      <c r="D32" s="38"/>
      <c r="E32" s="38"/>
      <c r="F32" s="38"/>
      <c r="G32" s="38"/>
      <c r="H32" s="40"/>
      <c r="I32" s="38"/>
      <c r="J32" s="38"/>
      <c r="K32" s="38"/>
      <c r="L32" s="41"/>
      <c r="M32" s="42" t="str">
        <f aca="false">IF(C32="","",IF(W32=1,"NO – opted out. Do not email.",IF(I32="","Pick a contact type",IF(LEFT(I32,4)="Sole",IF(OR(LEFT(J32,7)="Consent",LEFT(J32,4)="Soft"),"Yes – add opt-out + privacy link",IF(LEFT(J32,8)="Contract","Reply about their enquiry only","NO – needs consent first (PECR)")),"Yes – add opt-out + privacy link"))))</f>
        <v/>
      </c>
      <c r="N32" s="38"/>
      <c r="O32" s="39"/>
      <c r="P32" s="38"/>
      <c r="Q32" s="39"/>
      <c r="R32" s="43" t="str">
        <f aca="false">IF(C32="","",IF(Q32&lt;&gt;"",Q32,IF(OR(W32=1,N32="Won",N32="Lost",N32="Parked"),"",IF(O32&lt;&gt;"",O32+Lists!$N$2,IF(B32&lt;&gt;"",B32+Lists!$N$2,"")))))</f>
        <v/>
      </c>
      <c r="S32" s="42" t="str">
        <f aca="true">IF(C32="","",IF(W32=1,"Grey – do not email",IF(N32="Won","Won",IF(OR(N32="Lost",N32="Parked"),"Closed",IF(R32="","Amber – add next action",IF(R32&lt;TODAY(),"Red – overdue",IF(R32=TODAY(),"Red – due today",IF(R32-TODAY()&lt;=Lists!$N$3,"Amber – due soon","Green – on track"))))))))</f>
        <v/>
      </c>
      <c r="T32" s="44"/>
      <c r="U32" s="38"/>
      <c r="V32" s="42" t="str">
        <f aca="true">IF(OR(C32="",W32=1,N32="Won",N32="Lost"),"",IF(ISNUMBER(R32),IF(R32&lt;=TODAY(),R32+ROW()/100000,""),""))</f>
        <v/>
      </c>
      <c r="W32" s="42" t="n">
        <f aca="false">IF(OR(L32="Y",AND(G32&lt;&gt;"",COUNTIF('Do not contact'!$A$6:$A$505,G32)&gt;0)),1,0)</f>
        <v>0</v>
      </c>
    </row>
    <row r="33" customFormat="false" ht="27.75" hidden="false" customHeight="true" outlineLevel="0" collapsed="false">
      <c r="A33" s="38"/>
      <c r="B33" s="39"/>
      <c r="C33" s="38"/>
      <c r="D33" s="38"/>
      <c r="E33" s="38"/>
      <c r="F33" s="38"/>
      <c r="G33" s="38"/>
      <c r="H33" s="40"/>
      <c r="I33" s="38"/>
      <c r="J33" s="38"/>
      <c r="K33" s="38"/>
      <c r="L33" s="41"/>
      <c r="M33" s="42" t="str">
        <f aca="false">IF(C33="","",IF(W33=1,"NO – opted out. Do not email.",IF(I33="","Pick a contact type",IF(LEFT(I33,4)="Sole",IF(OR(LEFT(J33,7)="Consent",LEFT(J33,4)="Soft"),"Yes – add opt-out + privacy link",IF(LEFT(J33,8)="Contract","Reply about their enquiry only","NO – needs consent first (PECR)")),"Yes – add opt-out + privacy link"))))</f>
        <v/>
      </c>
      <c r="N33" s="38"/>
      <c r="O33" s="39"/>
      <c r="P33" s="38"/>
      <c r="Q33" s="39"/>
      <c r="R33" s="43" t="str">
        <f aca="false">IF(C33="","",IF(Q33&lt;&gt;"",Q33,IF(OR(W33=1,N33="Won",N33="Lost",N33="Parked"),"",IF(O33&lt;&gt;"",O33+Lists!$N$2,IF(B33&lt;&gt;"",B33+Lists!$N$2,"")))))</f>
        <v/>
      </c>
      <c r="S33" s="42" t="str">
        <f aca="true">IF(C33="","",IF(W33=1,"Grey – do not email",IF(N33="Won","Won",IF(OR(N33="Lost",N33="Parked"),"Closed",IF(R33="","Amber – add next action",IF(R33&lt;TODAY(),"Red – overdue",IF(R33=TODAY(),"Red – due today",IF(R33-TODAY()&lt;=Lists!$N$3,"Amber – due soon","Green – on track"))))))))</f>
        <v/>
      </c>
      <c r="T33" s="44"/>
      <c r="U33" s="38"/>
      <c r="V33" s="42" t="str">
        <f aca="true">IF(OR(C33="",W33=1,N33="Won",N33="Lost"),"",IF(ISNUMBER(R33),IF(R33&lt;=TODAY(),R33+ROW()/100000,""),""))</f>
        <v/>
      </c>
      <c r="W33" s="42" t="n">
        <f aca="false">IF(OR(L33="Y",AND(G33&lt;&gt;"",COUNTIF('Do not contact'!$A$6:$A$505,G33)&gt;0)),1,0)</f>
        <v>0</v>
      </c>
    </row>
    <row r="34" customFormat="false" ht="27.75" hidden="false" customHeight="true" outlineLevel="0" collapsed="false">
      <c r="A34" s="38"/>
      <c r="B34" s="39"/>
      <c r="C34" s="38"/>
      <c r="D34" s="38"/>
      <c r="E34" s="38"/>
      <c r="F34" s="38"/>
      <c r="G34" s="38"/>
      <c r="H34" s="40"/>
      <c r="I34" s="38"/>
      <c r="J34" s="38"/>
      <c r="K34" s="38"/>
      <c r="L34" s="41"/>
      <c r="M34" s="42" t="str">
        <f aca="false">IF(C34="","",IF(W34=1,"NO – opted out. Do not email.",IF(I34="","Pick a contact type",IF(LEFT(I34,4)="Sole",IF(OR(LEFT(J34,7)="Consent",LEFT(J34,4)="Soft"),"Yes – add opt-out + privacy link",IF(LEFT(J34,8)="Contract","Reply about their enquiry only","NO – needs consent first (PECR)")),"Yes – add opt-out + privacy link"))))</f>
        <v/>
      </c>
      <c r="N34" s="38"/>
      <c r="O34" s="39"/>
      <c r="P34" s="38"/>
      <c r="Q34" s="39"/>
      <c r="R34" s="43" t="str">
        <f aca="false">IF(C34="","",IF(Q34&lt;&gt;"",Q34,IF(OR(W34=1,N34="Won",N34="Lost",N34="Parked"),"",IF(O34&lt;&gt;"",O34+Lists!$N$2,IF(B34&lt;&gt;"",B34+Lists!$N$2,"")))))</f>
        <v/>
      </c>
      <c r="S34" s="42" t="str">
        <f aca="true">IF(C34="","",IF(W34=1,"Grey – do not email",IF(N34="Won","Won",IF(OR(N34="Lost",N34="Parked"),"Closed",IF(R34="","Amber – add next action",IF(R34&lt;TODAY(),"Red – overdue",IF(R34=TODAY(),"Red – due today",IF(R34-TODAY()&lt;=Lists!$N$3,"Amber – due soon","Green – on track"))))))))</f>
        <v/>
      </c>
      <c r="T34" s="44"/>
      <c r="U34" s="38"/>
      <c r="V34" s="42" t="str">
        <f aca="true">IF(OR(C34="",W34=1,N34="Won",N34="Lost"),"",IF(ISNUMBER(R34),IF(R34&lt;=TODAY(),R34+ROW()/100000,""),""))</f>
        <v/>
      </c>
      <c r="W34" s="42" t="n">
        <f aca="false">IF(OR(L34="Y",AND(G34&lt;&gt;"",COUNTIF('Do not contact'!$A$6:$A$505,G34)&gt;0)),1,0)</f>
        <v>0</v>
      </c>
    </row>
    <row r="35" customFormat="false" ht="27.75" hidden="false" customHeight="true" outlineLevel="0" collapsed="false">
      <c r="A35" s="38"/>
      <c r="B35" s="39"/>
      <c r="C35" s="38"/>
      <c r="D35" s="38"/>
      <c r="E35" s="38"/>
      <c r="F35" s="38"/>
      <c r="G35" s="38"/>
      <c r="H35" s="40"/>
      <c r="I35" s="38"/>
      <c r="J35" s="38"/>
      <c r="K35" s="38"/>
      <c r="L35" s="41"/>
      <c r="M35" s="42" t="str">
        <f aca="false">IF(C35="","",IF(W35=1,"NO – opted out. Do not email.",IF(I35="","Pick a contact type",IF(LEFT(I35,4)="Sole",IF(OR(LEFT(J35,7)="Consent",LEFT(J35,4)="Soft"),"Yes – add opt-out + privacy link",IF(LEFT(J35,8)="Contract","Reply about their enquiry only","NO – needs consent first (PECR)")),"Yes – add opt-out + privacy link"))))</f>
        <v/>
      </c>
      <c r="N35" s="38"/>
      <c r="O35" s="39"/>
      <c r="P35" s="38"/>
      <c r="Q35" s="39"/>
      <c r="R35" s="43" t="str">
        <f aca="false">IF(C35="","",IF(Q35&lt;&gt;"",Q35,IF(OR(W35=1,N35="Won",N35="Lost",N35="Parked"),"",IF(O35&lt;&gt;"",O35+Lists!$N$2,IF(B35&lt;&gt;"",B35+Lists!$N$2,"")))))</f>
        <v/>
      </c>
      <c r="S35" s="42" t="str">
        <f aca="true">IF(C35="","",IF(W35=1,"Grey – do not email",IF(N35="Won","Won",IF(OR(N35="Lost",N35="Parked"),"Closed",IF(R35="","Amber – add next action",IF(R35&lt;TODAY(),"Red – overdue",IF(R35=TODAY(),"Red – due today",IF(R35-TODAY()&lt;=Lists!$N$3,"Amber – due soon","Green – on track"))))))))</f>
        <v/>
      </c>
      <c r="T35" s="44"/>
      <c r="U35" s="38"/>
      <c r="V35" s="42" t="str">
        <f aca="true">IF(OR(C35="",W35=1,N35="Won",N35="Lost"),"",IF(ISNUMBER(R35),IF(R35&lt;=TODAY(),R35+ROW()/100000,""),""))</f>
        <v/>
      </c>
      <c r="W35" s="42" t="n">
        <f aca="false">IF(OR(L35="Y",AND(G35&lt;&gt;"",COUNTIF('Do not contact'!$A$6:$A$505,G35)&gt;0)),1,0)</f>
        <v>0</v>
      </c>
    </row>
    <row r="36" customFormat="false" ht="27.75" hidden="false" customHeight="true" outlineLevel="0" collapsed="false">
      <c r="A36" s="38"/>
      <c r="B36" s="39"/>
      <c r="C36" s="38"/>
      <c r="D36" s="38"/>
      <c r="E36" s="38"/>
      <c r="F36" s="38"/>
      <c r="G36" s="38"/>
      <c r="H36" s="40"/>
      <c r="I36" s="38"/>
      <c r="J36" s="38"/>
      <c r="K36" s="38"/>
      <c r="L36" s="41"/>
      <c r="M36" s="42" t="str">
        <f aca="false">IF(C36="","",IF(W36=1,"NO – opted out. Do not email.",IF(I36="","Pick a contact type",IF(LEFT(I36,4)="Sole",IF(OR(LEFT(J36,7)="Consent",LEFT(J36,4)="Soft"),"Yes – add opt-out + privacy link",IF(LEFT(J36,8)="Contract","Reply about their enquiry only","NO – needs consent first (PECR)")),"Yes – add opt-out + privacy link"))))</f>
        <v/>
      </c>
      <c r="N36" s="38"/>
      <c r="O36" s="39"/>
      <c r="P36" s="38"/>
      <c r="Q36" s="39"/>
      <c r="R36" s="43" t="str">
        <f aca="false">IF(C36="","",IF(Q36&lt;&gt;"",Q36,IF(OR(W36=1,N36="Won",N36="Lost",N36="Parked"),"",IF(O36&lt;&gt;"",O36+Lists!$N$2,IF(B36&lt;&gt;"",B36+Lists!$N$2,"")))))</f>
        <v/>
      </c>
      <c r="S36" s="42" t="str">
        <f aca="true">IF(C36="","",IF(W36=1,"Grey – do not email",IF(N36="Won","Won",IF(OR(N36="Lost",N36="Parked"),"Closed",IF(R36="","Amber – add next action",IF(R36&lt;TODAY(),"Red – overdue",IF(R36=TODAY(),"Red – due today",IF(R36-TODAY()&lt;=Lists!$N$3,"Amber – due soon","Green – on track"))))))))</f>
        <v/>
      </c>
      <c r="T36" s="44"/>
      <c r="U36" s="38"/>
      <c r="V36" s="42" t="str">
        <f aca="true">IF(OR(C36="",W36=1,N36="Won",N36="Lost"),"",IF(ISNUMBER(R36),IF(R36&lt;=TODAY(),R36+ROW()/100000,""),""))</f>
        <v/>
      </c>
      <c r="W36" s="42" t="n">
        <f aca="false">IF(OR(L36="Y",AND(G36&lt;&gt;"",COUNTIF('Do not contact'!$A$6:$A$505,G36)&gt;0)),1,0)</f>
        <v>0</v>
      </c>
    </row>
    <row r="37" customFormat="false" ht="27.75" hidden="false" customHeight="true" outlineLevel="0" collapsed="false">
      <c r="A37" s="38"/>
      <c r="B37" s="39"/>
      <c r="C37" s="38"/>
      <c r="D37" s="38"/>
      <c r="E37" s="38"/>
      <c r="F37" s="38"/>
      <c r="G37" s="38"/>
      <c r="H37" s="40"/>
      <c r="I37" s="38"/>
      <c r="J37" s="38"/>
      <c r="K37" s="38"/>
      <c r="L37" s="41"/>
      <c r="M37" s="42" t="str">
        <f aca="false">IF(C37="","",IF(W37=1,"NO – opted out. Do not email.",IF(I37="","Pick a contact type",IF(LEFT(I37,4)="Sole",IF(OR(LEFT(J37,7)="Consent",LEFT(J37,4)="Soft"),"Yes – add opt-out + privacy link",IF(LEFT(J37,8)="Contract","Reply about their enquiry only","NO – needs consent first (PECR)")),"Yes – add opt-out + privacy link"))))</f>
        <v/>
      </c>
      <c r="N37" s="38"/>
      <c r="O37" s="39"/>
      <c r="P37" s="38"/>
      <c r="Q37" s="39"/>
      <c r="R37" s="43" t="str">
        <f aca="false">IF(C37="","",IF(Q37&lt;&gt;"",Q37,IF(OR(W37=1,N37="Won",N37="Lost",N37="Parked"),"",IF(O37&lt;&gt;"",O37+Lists!$N$2,IF(B37&lt;&gt;"",B37+Lists!$N$2,"")))))</f>
        <v/>
      </c>
      <c r="S37" s="42" t="str">
        <f aca="true">IF(C37="","",IF(W37=1,"Grey – do not email",IF(N37="Won","Won",IF(OR(N37="Lost",N37="Parked"),"Closed",IF(R37="","Amber – add next action",IF(R37&lt;TODAY(),"Red – overdue",IF(R37=TODAY(),"Red – due today",IF(R37-TODAY()&lt;=Lists!$N$3,"Amber – due soon","Green – on track"))))))))</f>
        <v/>
      </c>
      <c r="T37" s="44"/>
      <c r="U37" s="38"/>
      <c r="V37" s="42" t="str">
        <f aca="true">IF(OR(C37="",W37=1,N37="Won",N37="Lost"),"",IF(ISNUMBER(R37),IF(R37&lt;=TODAY(),R37+ROW()/100000,""),""))</f>
        <v/>
      </c>
      <c r="W37" s="42" t="n">
        <f aca="false">IF(OR(L37="Y",AND(G37&lt;&gt;"",COUNTIF('Do not contact'!$A$6:$A$505,G37)&gt;0)),1,0)</f>
        <v>0</v>
      </c>
    </row>
    <row r="38" customFormat="false" ht="27.75" hidden="false" customHeight="true" outlineLevel="0" collapsed="false">
      <c r="A38" s="38"/>
      <c r="B38" s="39"/>
      <c r="C38" s="38"/>
      <c r="D38" s="38"/>
      <c r="E38" s="38"/>
      <c r="F38" s="38"/>
      <c r="G38" s="38"/>
      <c r="H38" s="40"/>
      <c r="I38" s="38"/>
      <c r="J38" s="38"/>
      <c r="K38" s="38"/>
      <c r="L38" s="41"/>
      <c r="M38" s="42" t="str">
        <f aca="false">IF(C38="","",IF(W38=1,"NO – opted out. Do not email.",IF(I38="","Pick a contact type",IF(LEFT(I38,4)="Sole",IF(OR(LEFT(J38,7)="Consent",LEFT(J38,4)="Soft"),"Yes – add opt-out + privacy link",IF(LEFT(J38,8)="Contract","Reply about their enquiry only","NO – needs consent first (PECR)")),"Yes – add opt-out + privacy link"))))</f>
        <v/>
      </c>
      <c r="N38" s="38"/>
      <c r="O38" s="39"/>
      <c r="P38" s="38"/>
      <c r="Q38" s="39"/>
      <c r="R38" s="43" t="str">
        <f aca="false">IF(C38="","",IF(Q38&lt;&gt;"",Q38,IF(OR(W38=1,N38="Won",N38="Lost",N38="Parked"),"",IF(O38&lt;&gt;"",O38+Lists!$N$2,IF(B38&lt;&gt;"",B38+Lists!$N$2,"")))))</f>
        <v/>
      </c>
      <c r="S38" s="42" t="str">
        <f aca="true">IF(C38="","",IF(W38=1,"Grey – do not email",IF(N38="Won","Won",IF(OR(N38="Lost",N38="Parked"),"Closed",IF(R38="","Amber – add next action",IF(R38&lt;TODAY(),"Red – overdue",IF(R38=TODAY(),"Red – due today",IF(R38-TODAY()&lt;=Lists!$N$3,"Amber – due soon","Green – on track"))))))))</f>
        <v/>
      </c>
      <c r="T38" s="44"/>
      <c r="U38" s="38"/>
      <c r="V38" s="42" t="str">
        <f aca="true">IF(OR(C38="",W38=1,N38="Won",N38="Lost"),"",IF(ISNUMBER(R38),IF(R38&lt;=TODAY(),R38+ROW()/100000,""),""))</f>
        <v/>
      </c>
      <c r="W38" s="42" t="n">
        <f aca="false">IF(OR(L38="Y",AND(G38&lt;&gt;"",COUNTIF('Do not contact'!$A$6:$A$505,G38)&gt;0)),1,0)</f>
        <v>0</v>
      </c>
    </row>
    <row r="39" customFormat="false" ht="27.75" hidden="false" customHeight="true" outlineLevel="0" collapsed="false">
      <c r="A39" s="38"/>
      <c r="B39" s="39"/>
      <c r="C39" s="38"/>
      <c r="D39" s="38"/>
      <c r="E39" s="38"/>
      <c r="F39" s="38"/>
      <c r="G39" s="38"/>
      <c r="H39" s="40"/>
      <c r="I39" s="38"/>
      <c r="J39" s="38"/>
      <c r="K39" s="38"/>
      <c r="L39" s="41"/>
      <c r="M39" s="42" t="str">
        <f aca="false">IF(C39="","",IF(W39=1,"NO – opted out. Do not email.",IF(I39="","Pick a contact type",IF(LEFT(I39,4)="Sole",IF(OR(LEFT(J39,7)="Consent",LEFT(J39,4)="Soft"),"Yes – add opt-out + privacy link",IF(LEFT(J39,8)="Contract","Reply about their enquiry only","NO – needs consent first (PECR)")),"Yes – add opt-out + privacy link"))))</f>
        <v/>
      </c>
      <c r="N39" s="38"/>
      <c r="O39" s="39"/>
      <c r="P39" s="38"/>
      <c r="Q39" s="39"/>
      <c r="R39" s="43" t="str">
        <f aca="false">IF(C39="","",IF(Q39&lt;&gt;"",Q39,IF(OR(W39=1,N39="Won",N39="Lost",N39="Parked"),"",IF(O39&lt;&gt;"",O39+Lists!$N$2,IF(B39&lt;&gt;"",B39+Lists!$N$2,"")))))</f>
        <v/>
      </c>
      <c r="S39" s="42" t="str">
        <f aca="true">IF(C39="","",IF(W39=1,"Grey – do not email",IF(N39="Won","Won",IF(OR(N39="Lost",N39="Parked"),"Closed",IF(R39="","Amber – add next action",IF(R39&lt;TODAY(),"Red – overdue",IF(R39=TODAY(),"Red – due today",IF(R39-TODAY()&lt;=Lists!$N$3,"Amber – due soon","Green – on track"))))))))</f>
        <v/>
      </c>
      <c r="T39" s="44"/>
      <c r="U39" s="38"/>
      <c r="V39" s="42" t="str">
        <f aca="true">IF(OR(C39="",W39=1,N39="Won",N39="Lost"),"",IF(ISNUMBER(R39),IF(R39&lt;=TODAY(),R39+ROW()/100000,""),""))</f>
        <v/>
      </c>
      <c r="W39" s="42" t="n">
        <f aca="false">IF(OR(L39="Y",AND(G39&lt;&gt;"",COUNTIF('Do not contact'!$A$6:$A$505,G39)&gt;0)),1,0)</f>
        <v>0</v>
      </c>
    </row>
    <row r="40" customFormat="false" ht="27.75" hidden="false" customHeight="true" outlineLevel="0" collapsed="false">
      <c r="A40" s="38"/>
      <c r="B40" s="39"/>
      <c r="C40" s="38"/>
      <c r="D40" s="38"/>
      <c r="E40" s="38"/>
      <c r="F40" s="38"/>
      <c r="G40" s="38"/>
      <c r="H40" s="40"/>
      <c r="I40" s="38"/>
      <c r="J40" s="38"/>
      <c r="K40" s="38"/>
      <c r="L40" s="41"/>
      <c r="M40" s="42" t="str">
        <f aca="false">IF(C40="","",IF(W40=1,"NO – opted out. Do not email.",IF(I40="","Pick a contact type",IF(LEFT(I40,4)="Sole",IF(OR(LEFT(J40,7)="Consent",LEFT(J40,4)="Soft"),"Yes – add opt-out + privacy link",IF(LEFT(J40,8)="Contract","Reply about their enquiry only","NO – needs consent first (PECR)")),"Yes – add opt-out + privacy link"))))</f>
        <v/>
      </c>
      <c r="N40" s="38"/>
      <c r="O40" s="39"/>
      <c r="P40" s="38"/>
      <c r="Q40" s="39"/>
      <c r="R40" s="43" t="str">
        <f aca="false">IF(C40="","",IF(Q40&lt;&gt;"",Q40,IF(OR(W40=1,N40="Won",N40="Lost",N40="Parked"),"",IF(O40&lt;&gt;"",O40+Lists!$N$2,IF(B40&lt;&gt;"",B40+Lists!$N$2,"")))))</f>
        <v/>
      </c>
      <c r="S40" s="42" t="str">
        <f aca="true">IF(C40="","",IF(W40=1,"Grey – do not email",IF(N40="Won","Won",IF(OR(N40="Lost",N40="Parked"),"Closed",IF(R40="","Amber – add next action",IF(R40&lt;TODAY(),"Red – overdue",IF(R40=TODAY(),"Red – due today",IF(R40-TODAY()&lt;=Lists!$N$3,"Amber – due soon","Green – on track"))))))))</f>
        <v/>
      </c>
      <c r="T40" s="44"/>
      <c r="U40" s="38"/>
      <c r="V40" s="42" t="str">
        <f aca="true">IF(OR(C40="",W40=1,N40="Won",N40="Lost"),"",IF(ISNUMBER(R40),IF(R40&lt;=TODAY(),R40+ROW()/100000,""),""))</f>
        <v/>
      </c>
      <c r="W40" s="42" t="n">
        <f aca="false">IF(OR(L40="Y",AND(G40&lt;&gt;"",COUNTIF('Do not contact'!$A$6:$A$505,G40)&gt;0)),1,0)</f>
        <v>0</v>
      </c>
    </row>
    <row r="41" customFormat="false" ht="27.75" hidden="false" customHeight="true" outlineLevel="0" collapsed="false">
      <c r="A41" s="38"/>
      <c r="B41" s="39"/>
      <c r="C41" s="38"/>
      <c r="D41" s="38"/>
      <c r="E41" s="38"/>
      <c r="F41" s="38"/>
      <c r="G41" s="38"/>
      <c r="H41" s="40"/>
      <c r="I41" s="38"/>
      <c r="J41" s="38"/>
      <c r="K41" s="38"/>
      <c r="L41" s="41"/>
      <c r="M41" s="42" t="str">
        <f aca="false">IF(C41="","",IF(W41=1,"NO – opted out. Do not email.",IF(I41="","Pick a contact type",IF(LEFT(I41,4)="Sole",IF(OR(LEFT(J41,7)="Consent",LEFT(J41,4)="Soft"),"Yes – add opt-out + privacy link",IF(LEFT(J41,8)="Contract","Reply about their enquiry only","NO – needs consent first (PECR)")),"Yes – add opt-out + privacy link"))))</f>
        <v/>
      </c>
      <c r="N41" s="38"/>
      <c r="O41" s="39"/>
      <c r="P41" s="38"/>
      <c r="Q41" s="39"/>
      <c r="R41" s="43" t="str">
        <f aca="false">IF(C41="","",IF(Q41&lt;&gt;"",Q41,IF(OR(W41=1,N41="Won",N41="Lost",N41="Parked"),"",IF(O41&lt;&gt;"",O41+Lists!$N$2,IF(B41&lt;&gt;"",B41+Lists!$N$2,"")))))</f>
        <v/>
      </c>
      <c r="S41" s="42" t="str">
        <f aca="true">IF(C41="","",IF(W41=1,"Grey – do not email",IF(N41="Won","Won",IF(OR(N41="Lost",N41="Parked"),"Closed",IF(R41="","Amber – add next action",IF(R41&lt;TODAY(),"Red – overdue",IF(R41=TODAY(),"Red – due today",IF(R41-TODAY()&lt;=Lists!$N$3,"Amber – due soon","Green – on track"))))))))</f>
        <v/>
      </c>
      <c r="T41" s="44"/>
      <c r="U41" s="38"/>
      <c r="V41" s="42" t="str">
        <f aca="true">IF(OR(C41="",W41=1,N41="Won",N41="Lost"),"",IF(ISNUMBER(R41),IF(R41&lt;=TODAY(),R41+ROW()/100000,""),""))</f>
        <v/>
      </c>
      <c r="W41" s="42" t="n">
        <f aca="false">IF(OR(L41="Y",AND(G41&lt;&gt;"",COUNTIF('Do not contact'!$A$6:$A$505,G41)&gt;0)),1,0)</f>
        <v>0</v>
      </c>
    </row>
    <row r="42" customFormat="false" ht="27.75" hidden="false" customHeight="true" outlineLevel="0" collapsed="false">
      <c r="A42" s="38"/>
      <c r="B42" s="39"/>
      <c r="C42" s="38"/>
      <c r="D42" s="38"/>
      <c r="E42" s="38"/>
      <c r="F42" s="38"/>
      <c r="G42" s="38"/>
      <c r="H42" s="40"/>
      <c r="I42" s="38"/>
      <c r="J42" s="38"/>
      <c r="K42" s="38"/>
      <c r="L42" s="41"/>
      <c r="M42" s="42" t="str">
        <f aca="false">IF(C42="","",IF(W42=1,"NO – opted out. Do not email.",IF(I42="","Pick a contact type",IF(LEFT(I42,4)="Sole",IF(OR(LEFT(J42,7)="Consent",LEFT(J42,4)="Soft"),"Yes – add opt-out + privacy link",IF(LEFT(J42,8)="Contract","Reply about their enquiry only","NO – needs consent first (PECR)")),"Yes – add opt-out + privacy link"))))</f>
        <v/>
      </c>
      <c r="N42" s="38"/>
      <c r="O42" s="39"/>
      <c r="P42" s="38"/>
      <c r="Q42" s="39"/>
      <c r="R42" s="43" t="str">
        <f aca="false">IF(C42="","",IF(Q42&lt;&gt;"",Q42,IF(OR(W42=1,N42="Won",N42="Lost",N42="Parked"),"",IF(O42&lt;&gt;"",O42+Lists!$N$2,IF(B42&lt;&gt;"",B42+Lists!$N$2,"")))))</f>
        <v/>
      </c>
      <c r="S42" s="42" t="str">
        <f aca="true">IF(C42="","",IF(W42=1,"Grey – do not email",IF(N42="Won","Won",IF(OR(N42="Lost",N42="Parked"),"Closed",IF(R42="","Amber – add next action",IF(R42&lt;TODAY(),"Red – overdue",IF(R42=TODAY(),"Red – due today",IF(R42-TODAY()&lt;=Lists!$N$3,"Amber – due soon","Green – on track"))))))))</f>
        <v/>
      </c>
      <c r="T42" s="44"/>
      <c r="U42" s="38"/>
      <c r="V42" s="42" t="str">
        <f aca="true">IF(OR(C42="",W42=1,N42="Won",N42="Lost"),"",IF(ISNUMBER(R42),IF(R42&lt;=TODAY(),R42+ROW()/100000,""),""))</f>
        <v/>
      </c>
      <c r="W42" s="42" t="n">
        <f aca="false">IF(OR(L42="Y",AND(G42&lt;&gt;"",COUNTIF('Do not contact'!$A$6:$A$505,G42)&gt;0)),1,0)</f>
        <v>0</v>
      </c>
    </row>
    <row r="43" customFormat="false" ht="27.75" hidden="false" customHeight="true" outlineLevel="0" collapsed="false">
      <c r="A43" s="38"/>
      <c r="B43" s="39"/>
      <c r="C43" s="38"/>
      <c r="D43" s="38"/>
      <c r="E43" s="38"/>
      <c r="F43" s="38"/>
      <c r="G43" s="38"/>
      <c r="H43" s="40"/>
      <c r="I43" s="38"/>
      <c r="J43" s="38"/>
      <c r="K43" s="38"/>
      <c r="L43" s="41"/>
      <c r="M43" s="42" t="str">
        <f aca="false">IF(C43="","",IF(W43=1,"NO – opted out. Do not email.",IF(I43="","Pick a contact type",IF(LEFT(I43,4)="Sole",IF(OR(LEFT(J43,7)="Consent",LEFT(J43,4)="Soft"),"Yes – add opt-out + privacy link",IF(LEFT(J43,8)="Contract","Reply about their enquiry only","NO – needs consent first (PECR)")),"Yes – add opt-out + privacy link"))))</f>
        <v/>
      </c>
      <c r="N43" s="38"/>
      <c r="O43" s="39"/>
      <c r="P43" s="38"/>
      <c r="Q43" s="39"/>
      <c r="R43" s="43" t="str">
        <f aca="false">IF(C43="","",IF(Q43&lt;&gt;"",Q43,IF(OR(W43=1,N43="Won",N43="Lost",N43="Parked"),"",IF(O43&lt;&gt;"",O43+Lists!$N$2,IF(B43&lt;&gt;"",B43+Lists!$N$2,"")))))</f>
        <v/>
      </c>
      <c r="S43" s="42" t="str">
        <f aca="true">IF(C43="","",IF(W43=1,"Grey – do not email",IF(N43="Won","Won",IF(OR(N43="Lost",N43="Parked"),"Closed",IF(R43="","Amber – add next action",IF(R43&lt;TODAY(),"Red – overdue",IF(R43=TODAY(),"Red – due today",IF(R43-TODAY()&lt;=Lists!$N$3,"Amber – due soon","Green – on track"))))))))</f>
        <v/>
      </c>
      <c r="T43" s="44"/>
      <c r="U43" s="38"/>
      <c r="V43" s="42" t="str">
        <f aca="true">IF(OR(C43="",W43=1,N43="Won",N43="Lost"),"",IF(ISNUMBER(R43),IF(R43&lt;=TODAY(),R43+ROW()/100000,""),""))</f>
        <v/>
      </c>
      <c r="W43" s="42" t="n">
        <f aca="false">IF(OR(L43="Y",AND(G43&lt;&gt;"",COUNTIF('Do not contact'!$A$6:$A$505,G43)&gt;0)),1,0)</f>
        <v>0</v>
      </c>
    </row>
    <row r="44" customFormat="false" ht="27.75" hidden="false" customHeight="true" outlineLevel="0" collapsed="false">
      <c r="A44" s="38"/>
      <c r="B44" s="39"/>
      <c r="C44" s="38"/>
      <c r="D44" s="38"/>
      <c r="E44" s="38"/>
      <c r="F44" s="38"/>
      <c r="G44" s="38"/>
      <c r="H44" s="40"/>
      <c r="I44" s="38"/>
      <c r="J44" s="38"/>
      <c r="K44" s="38"/>
      <c r="L44" s="41"/>
      <c r="M44" s="42" t="str">
        <f aca="false">IF(C44="","",IF(W44=1,"NO – opted out. Do not email.",IF(I44="","Pick a contact type",IF(LEFT(I44,4)="Sole",IF(OR(LEFT(J44,7)="Consent",LEFT(J44,4)="Soft"),"Yes – add opt-out + privacy link",IF(LEFT(J44,8)="Contract","Reply about their enquiry only","NO – needs consent first (PECR)")),"Yes – add opt-out + privacy link"))))</f>
        <v/>
      </c>
      <c r="N44" s="38"/>
      <c r="O44" s="39"/>
      <c r="P44" s="38"/>
      <c r="Q44" s="39"/>
      <c r="R44" s="43" t="str">
        <f aca="false">IF(C44="","",IF(Q44&lt;&gt;"",Q44,IF(OR(W44=1,N44="Won",N44="Lost",N44="Parked"),"",IF(O44&lt;&gt;"",O44+Lists!$N$2,IF(B44&lt;&gt;"",B44+Lists!$N$2,"")))))</f>
        <v/>
      </c>
      <c r="S44" s="42" t="str">
        <f aca="true">IF(C44="","",IF(W44=1,"Grey – do not email",IF(N44="Won","Won",IF(OR(N44="Lost",N44="Parked"),"Closed",IF(R44="","Amber – add next action",IF(R44&lt;TODAY(),"Red – overdue",IF(R44=TODAY(),"Red – due today",IF(R44-TODAY()&lt;=Lists!$N$3,"Amber – due soon","Green – on track"))))))))</f>
        <v/>
      </c>
      <c r="T44" s="44"/>
      <c r="U44" s="38"/>
      <c r="V44" s="42" t="str">
        <f aca="true">IF(OR(C44="",W44=1,N44="Won",N44="Lost"),"",IF(ISNUMBER(R44),IF(R44&lt;=TODAY(),R44+ROW()/100000,""),""))</f>
        <v/>
      </c>
      <c r="W44" s="42" t="n">
        <f aca="false">IF(OR(L44="Y",AND(G44&lt;&gt;"",COUNTIF('Do not contact'!$A$6:$A$505,G44)&gt;0)),1,0)</f>
        <v>0</v>
      </c>
    </row>
    <row r="45" customFormat="false" ht="27.75" hidden="false" customHeight="true" outlineLevel="0" collapsed="false">
      <c r="A45" s="38"/>
      <c r="B45" s="39"/>
      <c r="C45" s="38"/>
      <c r="D45" s="38"/>
      <c r="E45" s="38"/>
      <c r="F45" s="38"/>
      <c r="G45" s="38"/>
      <c r="H45" s="40"/>
      <c r="I45" s="38"/>
      <c r="J45" s="38"/>
      <c r="K45" s="38"/>
      <c r="L45" s="41"/>
      <c r="M45" s="42" t="str">
        <f aca="false">IF(C45="","",IF(W45=1,"NO – opted out. Do not email.",IF(I45="","Pick a contact type",IF(LEFT(I45,4)="Sole",IF(OR(LEFT(J45,7)="Consent",LEFT(J45,4)="Soft"),"Yes – add opt-out + privacy link",IF(LEFT(J45,8)="Contract","Reply about their enquiry only","NO – needs consent first (PECR)")),"Yes – add opt-out + privacy link"))))</f>
        <v/>
      </c>
      <c r="N45" s="38"/>
      <c r="O45" s="39"/>
      <c r="P45" s="38"/>
      <c r="Q45" s="39"/>
      <c r="R45" s="43" t="str">
        <f aca="false">IF(C45="","",IF(Q45&lt;&gt;"",Q45,IF(OR(W45=1,N45="Won",N45="Lost",N45="Parked"),"",IF(O45&lt;&gt;"",O45+Lists!$N$2,IF(B45&lt;&gt;"",B45+Lists!$N$2,"")))))</f>
        <v/>
      </c>
      <c r="S45" s="42" t="str">
        <f aca="true">IF(C45="","",IF(W45=1,"Grey – do not email",IF(N45="Won","Won",IF(OR(N45="Lost",N45="Parked"),"Closed",IF(R45="","Amber – add next action",IF(R45&lt;TODAY(),"Red – overdue",IF(R45=TODAY(),"Red – due today",IF(R45-TODAY()&lt;=Lists!$N$3,"Amber – due soon","Green – on track"))))))))</f>
        <v/>
      </c>
      <c r="T45" s="44"/>
      <c r="U45" s="38"/>
      <c r="V45" s="42" t="str">
        <f aca="true">IF(OR(C45="",W45=1,N45="Won",N45="Lost"),"",IF(ISNUMBER(R45),IF(R45&lt;=TODAY(),R45+ROW()/100000,""),""))</f>
        <v/>
      </c>
      <c r="W45" s="42" t="n">
        <f aca="false">IF(OR(L45="Y",AND(G45&lt;&gt;"",COUNTIF('Do not contact'!$A$6:$A$505,G45)&gt;0)),1,0)</f>
        <v>0</v>
      </c>
    </row>
    <row r="46" customFormat="false" ht="27.75" hidden="false" customHeight="true" outlineLevel="0" collapsed="false">
      <c r="A46" s="38"/>
      <c r="B46" s="39"/>
      <c r="C46" s="38"/>
      <c r="D46" s="38"/>
      <c r="E46" s="38"/>
      <c r="F46" s="38"/>
      <c r="G46" s="38"/>
      <c r="H46" s="40"/>
      <c r="I46" s="38"/>
      <c r="J46" s="38"/>
      <c r="K46" s="38"/>
      <c r="L46" s="41"/>
      <c r="M46" s="42" t="str">
        <f aca="false">IF(C46="","",IF(W46=1,"NO – opted out. Do not email.",IF(I46="","Pick a contact type",IF(LEFT(I46,4)="Sole",IF(OR(LEFT(J46,7)="Consent",LEFT(J46,4)="Soft"),"Yes – add opt-out + privacy link",IF(LEFT(J46,8)="Contract","Reply about their enquiry only","NO – needs consent first (PECR)")),"Yes – add opt-out + privacy link"))))</f>
        <v/>
      </c>
      <c r="N46" s="38"/>
      <c r="O46" s="39"/>
      <c r="P46" s="38"/>
      <c r="Q46" s="39"/>
      <c r="R46" s="43" t="str">
        <f aca="false">IF(C46="","",IF(Q46&lt;&gt;"",Q46,IF(OR(W46=1,N46="Won",N46="Lost",N46="Parked"),"",IF(O46&lt;&gt;"",O46+Lists!$N$2,IF(B46&lt;&gt;"",B46+Lists!$N$2,"")))))</f>
        <v/>
      </c>
      <c r="S46" s="42" t="str">
        <f aca="true">IF(C46="","",IF(W46=1,"Grey – do not email",IF(N46="Won","Won",IF(OR(N46="Lost",N46="Parked"),"Closed",IF(R46="","Amber – add next action",IF(R46&lt;TODAY(),"Red – overdue",IF(R46=TODAY(),"Red – due today",IF(R46-TODAY()&lt;=Lists!$N$3,"Amber – due soon","Green – on track"))))))))</f>
        <v/>
      </c>
      <c r="T46" s="44"/>
      <c r="U46" s="38"/>
      <c r="V46" s="42" t="str">
        <f aca="true">IF(OR(C46="",W46=1,N46="Won",N46="Lost"),"",IF(ISNUMBER(R46),IF(R46&lt;=TODAY(),R46+ROW()/100000,""),""))</f>
        <v/>
      </c>
      <c r="W46" s="42" t="n">
        <f aca="false">IF(OR(L46="Y",AND(G46&lt;&gt;"",COUNTIF('Do not contact'!$A$6:$A$505,G46)&gt;0)),1,0)</f>
        <v>0</v>
      </c>
    </row>
    <row r="47" customFormat="false" ht="27.75" hidden="false" customHeight="true" outlineLevel="0" collapsed="false">
      <c r="A47" s="38"/>
      <c r="B47" s="39"/>
      <c r="C47" s="38"/>
      <c r="D47" s="38"/>
      <c r="E47" s="38"/>
      <c r="F47" s="38"/>
      <c r="G47" s="38"/>
      <c r="H47" s="40"/>
      <c r="I47" s="38"/>
      <c r="J47" s="38"/>
      <c r="K47" s="38"/>
      <c r="L47" s="41"/>
      <c r="M47" s="42" t="str">
        <f aca="false">IF(C47="","",IF(W47=1,"NO – opted out. Do not email.",IF(I47="","Pick a contact type",IF(LEFT(I47,4)="Sole",IF(OR(LEFT(J47,7)="Consent",LEFT(J47,4)="Soft"),"Yes – add opt-out + privacy link",IF(LEFT(J47,8)="Contract","Reply about their enquiry only","NO – needs consent first (PECR)")),"Yes – add opt-out + privacy link"))))</f>
        <v/>
      </c>
      <c r="N47" s="38"/>
      <c r="O47" s="39"/>
      <c r="P47" s="38"/>
      <c r="Q47" s="39"/>
      <c r="R47" s="43" t="str">
        <f aca="false">IF(C47="","",IF(Q47&lt;&gt;"",Q47,IF(OR(W47=1,N47="Won",N47="Lost",N47="Parked"),"",IF(O47&lt;&gt;"",O47+Lists!$N$2,IF(B47&lt;&gt;"",B47+Lists!$N$2,"")))))</f>
        <v/>
      </c>
      <c r="S47" s="42" t="str">
        <f aca="true">IF(C47="","",IF(W47=1,"Grey – do not email",IF(N47="Won","Won",IF(OR(N47="Lost",N47="Parked"),"Closed",IF(R47="","Amber – add next action",IF(R47&lt;TODAY(),"Red – overdue",IF(R47=TODAY(),"Red – due today",IF(R47-TODAY()&lt;=Lists!$N$3,"Amber – due soon","Green – on track"))))))))</f>
        <v/>
      </c>
      <c r="T47" s="44"/>
      <c r="U47" s="38"/>
      <c r="V47" s="42" t="str">
        <f aca="true">IF(OR(C47="",W47=1,N47="Won",N47="Lost"),"",IF(ISNUMBER(R47),IF(R47&lt;=TODAY(),R47+ROW()/100000,""),""))</f>
        <v/>
      </c>
      <c r="W47" s="42" t="n">
        <f aca="false">IF(OR(L47="Y",AND(G47&lt;&gt;"",COUNTIF('Do not contact'!$A$6:$A$505,G47)&gt;0)),1,0)</f>
        <v>0</v>
      </c>
    </row>
    <row r="48" customFormat="false" ht="27.75" hidden="false" customHeight="true" outlineLevel="0" collapsed="false">
      <c r="A48" s="38"/>
      <c r="B48" s="39"/>
      <c r="C48" s="38"/>
      <c r="D48" s="38"/>
      <c r="E48" s="38"/>
      <c r="F48" s="38"/>
      <c r="G48" s="38"/>
      <c r="H48" s="40"/>
      <c r="I48" s="38"/>
      <c r="J48" s="38"/>
      <c r="K48" s="38"/>
      <c r="L48" s="41"/>
      <c r="M48" s="42" t="str">
        <f aca="false">IF(C48="","",IF(W48=1,"NO – opted out. Do not email.",IF(I48="","Pick a contact type",IF(LEFT(I48,4)="Sole",IF(OR(LEFT(J48,7)="Consent",LEFT(J48,4)="Soft"),"Yes – add opt-out + privacy link",IF(LEFT(J48,8)="Contract","Reply about their enquiry only","NO – needs consent first (PECR)")),"Yes – add opt-out + privacy link"))))</f>
        <v/>
      </c>
      <c r="N48" s="38"/>
      <c r="O48" s="39"/>
      <c r="P48" s="38"/>
      <c r="Q48" s="39"/>
      <c r="R48" s="43" t="str">
        <f aca="false">IF(C48="","",IF(Q48&lt;&gt;"",Q48,IF(OR(W48=1,N48="Won",N48="Lost",N48="Parked"),"",IF(O48&lt;&gt;"",O48+Lists!$N$2,IF(B48&lt;&gt;"",B48+Lists!$N$2,"")))))</f>
        <v/>
      </c>
      <c r="S48" s="42" t="str">
        <f aca="true">IF(C48="","",IF(W48=1,"Grey – do not email",IF(N48="Won","Won",IF(OR(N48="Lost",N48="Parked"),"Closed",IF(R48="","Amber – add next action",IF(R48&lt;TODAY(),"Red – overdue",IF(R48=TODAY(),"Red – due today",IF(R48-TODAY()&lt;=Lists!$N$3,"Amber – due soon","Green – on track"))))))))</f>
        <v/>
      </c>
      <c r="T48" s="44"/>
      <c r="U48" s="38"/>
      <c r="V48" s="42" t="str">
        <f aca="true">IF(OR(C48="",W48=1,N48="Won",N48="Lost"),"",IF(ISNUMBER(R48),IF(R48&lt;=TODAY(),R48+ROW()/100000,""),""))</f>
        <v/>
      </c>
      <c r="W48" s="42" t="n">
        <f aca="false">IF(OR(L48="Y",AND(G48&lt;&gt;"",COUNTIF('Do not contact'!$A$6:$A$505,G48)&gt;0)),1,0)</f>
        <v>0</v>
      </c>
    </row>
    <row r="49" customFormat="false" ht="27.75" hidden="false" customHeight="true" outlineLevel="0" collapsed="false">
      <c r="A49" s="38"/>
      <c r="B49" s="39"/>
      <c r="C49" s="38"/>
      <c r="D49" s="38"/>
      <c r="E49" s="38"/>
      <c r="F49" s="38"/>
      <c r="G49" s="38"/>
      <c r="H49" s="40"/>
      <c r="I49" s="38"/>
      <c r="J49" s="38"/>
      <c r="K49" s="38"/>
      <c r="L49" s="41"/>
      <c r="M49" s="42" t="str">
        <f aca="false">IF(C49="","",IF(W49=1,"NO – opted out. Do not email.",IF(I49="","Pick a contact type",IF(LEFT(I49,4)="Sole",IF(OR(LEFT(J49,7)="Consent",LEFT(J49,4)="Soft"),"Yes – add opt-out + privacy link",IF(LEFT(J49,8)="Contract","Reply about their enquiry only","NO – needs consent first (PECR)")),"Yes – add opt-out + privacy link"))))</f>
        <v/>
      </c>
      <c r="N49" s="38"/>
      <c r="O49" s="39"/>
      <c r="P49" s="38"/>
      <c r="Q49" s="39"/>
      <c r="R49" s="43" t="str">
        <f aca="false">IF(C49="","",IF(Q49&lt;&gt;"",Q49,IF(OR(W49=1,N49="Won",N49="Lost",N49="Parked"),"",IF(O49&lt;&gt;"",O49+Lists!$N$2,IF(B49&lt;&gt;"",B49+Lists!$N$2,"")))))</f>
        <v/>
      </c>
      <c r="S49" s="42" t="str">
        <f aca="true">IF(C49="","",IF(W49=1,"Grey – do not email",IF(N49="Won","Won",IF(OR(N49="Lost",N49="Parked"),"Closed",IF(R49="","Amber – add next action",IF(R49&lt;TODAY(),"Red – overdue",IF(R49=TODAY(),"Red – due today",IF(R49-TODAY()&lt;=Lists!$N$3,"Amber – due soon","Green – on track"))))))))</f>
        <v/>
      </c>
      <c r="T49" s="44"/>
      <c r="U49" s="38"/>
      <c r="V49" s="42" t="str">
        <f aca="true">IF(OR(C49="",W49=1,N49="Won",N49="Lost"),"",IF(ISNUMBER(R49),IF(R49&lt;=TODAY(),R49+ROW()/100000,""),""))</f>
        <v/>
      </c>
      <c r="W49" s="42" t="n">
        <f aca="false">IF(OR(L49="Y",AND(G49&lt;&gt;"",COUNTIF('Do not contact'!$A$6:$A$505,G49)&gt;0)),1,0)</f>
        <v>0</v>
      </c>
    </row>
    <row r="50" customFormat="false" ht="27.75" hidden="false" customHeight="true" outlineLevel="0" collapsed="false">
      <c r="A50" s="38"/>
      <c r="B50" s="39"/>
      <c r="C50" s="38"/>
      <c r="D50" s="38"/>
      <c r="E50" s="38"/>
      <c r="F50" s="38"/>
      <c r="G50" s="38"/>
      <c r="H50" s="40"/>
      <c r="I50" s="38"/>
      <c r="J50" s="38"/>
      <c r="K50" s="38"/>
      <c r="L50" s="41"/>
      <c r="M50" s="42" t="str">
        <f aca="false">IF(C50="","",IF(W50=1,"NO – opted out. Do not email.",IF(I50="","Pick a contact type",IF(LEFT(I50,4)="Sole",IF(OR(LEFT(J50,7)="Consent",LEFT(J50,4)="Soft"),"Yes – add opt-out + privacy link",IF(LEFT(J50,8)="Contract","Reply about their enquiry only","NO – needs consent first (PECR)")),"Yes – add opt-out + privacy link"))))</f>
        <v/>
      </c>
      <c r="N50" s="38"/>
      <c r="O50" s="39"/>
      <c r="P50" s="38"/>
      <c r="Q50" s="39"/>
      <c r="R50" s="43" t="str">
        <f aca="false">IF(C50="","",IF(Q50&lt;&gt;"",Q50,IF(OR(W50=1,N50="Won",N50="Lost",N50="Parked"),"",IF(O50&lt;&gt;"",O50+Lists!$N$2,IF(B50&lt;&gt;"",B50+Lists!$N$2,"")))))</f>
        <v/>
      </c>
      <c r="S50" s="42" t="str">
        <f aca="true">IF(C50="","",IF(W50=1,"Grey – do not email",IF(N50="Won","Won",IF(OR(N50="Lost",N50="Parked"),"Closed",IF(R50="","Amber – add next action",IF(R50&lt;TODAY(),"Red – overdue",IF(R50=TODAY(),"Red – due today",IF(R50-TODAY()&lt;=Lists!$N$3,"Amber – due soon","Green – on track"))))))))</f>
        <v/>
      </c>
      <c r="T50" s="44"/>
      <c r="U50" s="38"/>
      <c r="V50" s="42" t="str">
        <f aca="true">IF(OR(C50="",W50=1,N50="Won",N50="Lost"),"",IF(ISNUMBER(R50),IF(R50&lt;=TODAY(),R50+ROW()/100000,""),""))</f>
        <v/>
      </c>
      <c r="W50" s="42" t="n">
        <f aca="false">IF(OR(L50="Y",AND(G50&lt;&gt;"",COUNTIF('Do not contact'!$A$6:$A$505,G50)&gt;0)),1,0)</f>
        <v>0</v>
      </c>
    </row>
    <row r="51" customFormat="false" ht="27.75" hidden="false" customHeight="true" outlineLevel="0" collapsed="false">
      <c r="A51" s="38"/>
      <c r="B51" s="39"/>
      <c r="C51" s="38"/>
      <c r="D51" s="38"/>
      <c r="E51" s="38"/>
      <c r="F51" s="38"/>
      <c r="G51" s="38"/>
      <c r="H51" s="40"/>
      <c r="I51" s="38"/>
      <c r="J51" s="38"/>
      <c r="K51" s="38"/>
      <c r="L51" s="41"/>
      <c r="M51" s="42" t="str">
        <f aca="false">IF(C51="","",IF(W51=1,"NO – opted out. Do not email.",IF(I51="","Pick a contact type",IF(LEFT(I51,4)="Sole",IF(OR(LEFT(J51,7)="Consent",LEFT(J51,4)="Soft"),"Yes – add opt-out + privacy link",IF(LEFT(J51,8)="Contract","Reply about their enquiry only","NO – needs consent first (PECR)")),"Yes – add opt-out + privacy link"))))</f>
        <v/>
      </c>
      <c r="N51" s="38"/>
      <c r="O51" s="39"/>
      <c r="P51" s="38"/>
      <c r="Q51" s="39"/>
      <c r="R51" s="43" t="str">
        <f aca="false">IF(C51="","",IF(Q51&lt;&gt;"",Q51,IF(OR(W51=1,N51="Won",N51="Lost",N51="Parked"),"",IF(O51&lt;&gt;"",O51+Lists!$N$2,IF(B51&lt;&gt;"",B51+Lists!$N$2,"")))))</f>
        <v/>
      </c>
      <c r="S51" s="42" t="str">
        <f aca="true">IF(C51="","",IF(W51=1,"Grey – do not email",IF(N51="Won","Won",IF(OR(N51="Lost",N51="Parked"),"Closed",IF(R51="","Amber – add next action",IF(R51&lt;TODAY(),"Red – overdue",IF(R51=TODAY(),"Red – due today",IF(R51-TODAY()&lt;=Lists!$N$3,"Amber – due soon","Green – on track"))))))))</f>
        <v/>
      </c>
      <c r="T51" s="44"/>
      <c r="U51" s="38"/>
      <c r="V51" s="42" t="str">
        <f aca="true">IF(OR(C51="",W51=1,N51="Won",N51="Lost"),"",IF(ISNUMBER(R51),IF(R51&lt;=TODAY(),R51+ROW()/100000,""),""))</f>
        <v/>
      </c>
      <c r="W51" s="42" t="n">
        <f aca="false">IF(OR(L51="Y",AND(G51&lt;&gt;"",COUNTIF('Do not contact'!$A$6:$A$505,G51)&gt;0)),1,0)</f>
        <v>0</v>
      </c>
    </row>
    <row r="52" customFormat="false" ht="27.75" hidden="false" customHeight="true" outlineLevel="0" collapsed="false">
      <c r="A52" s="38"/>
      <c r="B52" s="39"/>
      <c r="C52" s="38"/>
      <c r="D52" s="38"/>
      <c r="E52" s="38"/>
      <c r="F52" s="38"/>
      <c r="G52" s="38"/>
      <c r="H52" s="40"/>
      <c r="I52" s="38"/>
      <c r="J52" s="38"/>
      <c r="K52" s="38"/>
      <c r="L52" s="41"/>
      <c r="M52" s="42" t="str">
        <f aca="false">IF(C52="","",IF(W52=1,"NO – opted out. Do not email.",IF(I52="","Pick a contact type",IF(LEFT(I52,4)="Sole",IF(OR(LEFT(J52,7)="Consent",LEFT(J52,4)="Soft"),"Yes – add opt-out + privacy link",IF(LEFT(J52,8)="Contract","Reply about their enquiry only","NO – needs consent first (PECR)")),"Yes – add opt-out + privacy link"))))</f>
        <v/>
      </c>
      <c r="N52" s="38"/>
      <c r="O52" s="39"/>
      <c r="P52" s="38"/>
      <c r="Q52" s="39"/>
      <c r="R52" s="43" t="str">
        <f aca="false">IF(C52="","",IF(Q52&lt;&gt;"",Q52,IF(OR(W52=1,N52="Won",N52="Lost",N52="Parked"),"",IF(O52&lt;&gt;"",O52+Lists!$N$2,IF(B52&lt;&gt;"",B52+Lists!$N$2,"")))))</f>
        <v/>
      </c>
      <c r="S52" s="42" t="str">
        <f aca="true">IF(C52="","",IF(W52=1,"Grey – do not email",IF(N52="Won","Won",IF(OR(N52="Lost",N52="Parked"),"Closed",IF(R52="","Amber – add next action",IF(R52&lt;TODAY(),"Red – overdue",IF(R52=TODAY(),"Red – due today",IF(R52-TODAY()&lt;=Lists!$N$3,"Amber – due soon","Green – on track"))))))))</f>
        <v/>
      </c>
      <c r="T52" s="44"/>
      <c r="U52" s="38"/>
      <c r="V52" s="42" t="str">
        <f aca="true">IF(OR(C52="",W52=1,N52="Won",N52="Lost"),"",IF(ISNUMBER(R52),IF(R52&lt;=TODAY(),R52+ROW()/100000,""),""))</f>
        <v/>
      </c>
      <c r="W52" s="42" t="n">
        <f aca="false">IF(OR(L52="Y",AND(G52&lt;&gt;"",COUNTIF('Do not contact'!$A$6:$A$505,G52)&gt;0)),1,0)</f>
        <v>0</v>
      </c>
    </row>
    <row r="53" customFormat="false" ht="27.75" hidden="false" customHeight="true" outlineLevel="0" collapsed="false">
      <c r="A53" s="38"/>
      <c r="B53" s="39"/>
      <c r="C53" s="38"/>
      <c r="D53" s="38"/>
      <c r="E53" s="38"/>
      <c r="F53" s="38"/>
      <c r="G53" s="38"/>
      <c r="H53" s="40"/>
      <c r="I53" s="38"/>
      <c r="J53" s="38"/>
      <c r="K53" s="38"/>
      <c r="L53" s="41"/>
      <c r="M53" s="42" t="str">
        <f aca="false">IF(C53="","",IF(W53=1,"NO – opted out. Do not email.",IF(I53="","Pick a contact type",IF(LEFT(I53,4)="Sole",IF(OR(LEFT(J53,7)="Consent",LEFT(J53,4)="Soft"),"Yes – add opt-out + privacy link",IF(LEFT(J53,8)="Contract","Reply about their enquiry only","NO – needs consent first (PECR)")),"Yes – add opt-out + privacy link"))))</f>
        <v/>
      </c>
      <c r="N53" s="38"/>
      <c r="O53" s="39"/>
      <c r="P53" s="38"/>
      <c r="Q53" s="39"/>
      <c r="R53" s="43" t="str">
        <f aca="false">IF(C53="","",IF(Q53&lt;&gt;"",Q53,IF(OR(W53=1,N53="Won",N53="Lost",N53="Parked"),"",IF(O53&lt;&gt;"",O53+Lists!$N$2,IF(B53&lt;&gt;"",B53+Lists!$N$2,"")))))</f>
        <v/>
      </c>
      <c r="S53" s="42" t="str">
        <f aca="true">IF(C53="","",IF(W53=1,"Grey – do not email",IF(N53="Won","Won",IF(OR(N53="Lost",N53="Parked"),"Closed",IF(R53="","Amber – add next action",IF(R53&lt;TODAY(),"Red – overdue",IF(R53=TODAY(),"Red – due today",IF(R53-TODAY()&lt;=Lists!$N$3,"Amber – due soon","Green – on track"))))))))</f>
        <v/>
      </c>
      <c r="T53" s="44"/>
      <c r="U53" s="38"/>
      <c r="V53" s="42" t="str">
        <f aca="true">IF(OR(C53="",W53=1,N53="Won",N53="Lost"),"",IF(ISNUMBER(R53),IF(R53&lt;=TODAY(),R53+ROW()/100000,""),""))</f>
        <v/>
      </c>
      <c r="W53" s="42" t="n">
        <f aca="false">IF(OR(L53="Y",AND(G53&lt;&gt;"",COUNTIF('Do not contact'!$A$6:$A$505,G53)&gt;0)),1,0)</f>
        <v>0</v>
      </c>
    </row>
    <row r="54" customFormat="false" ht="27.75" hidden="false" customHeight="true" outlineLevel="0" collapsed="false">
      <c r="A54" s="38"/>
      <c r="B54" s="39"/>
      <c r="C54" s="38"/>
      <c r="D54" s="38"/>
      <c r="E54" s="38"/>
      <c r="F54" s="38"/>
      <c r="G54" s="38"/>
      <c r="H54" s="40"/>
      <c r="I54" s="38"/>
      <c r="J54" s="38"/>
      <c r="K54" s="38"/>
      <c r="L54" s="41"/>
      <c r="M54" s="42" t="str">
        <f aca="false">IF(C54="","",IF(W54=1,"NO – opted out. Do not email.",IF(I54="","Pick a contact type",IF(LEFT(I54,4)="Sole",IF(OR(LEFT(J54,7)="Consent",LEFT(J54,4)="Soft"),"Yes – add opt-out + privacy link",IF(LEFT(J54,8)="Contract","Reply about their enquiry only","NO – needs consent first (PECR)")),"Yes – add opt-out + privacy link"))))</f>
        <v/>
      </c>
      <c r="N54" s="38"/>
      <c r="O54" s="39"/>
      <c r="P54" s="38"/>
      <c r="Q54" s="39"/>
      <c r="R54" s="43" t="str">
        <f aca="false">IF(C54="","",IF(Q54&lt;&gt;"",Q54,IF(OR(W54=1,N54="Won",N54="Lost",N54="Parked"),"",IF(O54&lt;&gt;"",O54+Lists!$N$2,IF(B54&lt;&gt;"",B54+Lists!$N$2,"")))))</f>
        <v/>
      </c>
      <c r="S54" s="42" t="str">
        <f aca="true">IF(C54="","",IF(W54=1,"Grey – do not email",IF(N54="Won","Won",IF(OR(N54="Lost",N54="Parked"),"Closed",IF(R54="","Amber – add next action",IF(R54&lt;TODAY(),"Red – overdue",IF(R54=TODAY(),"Red – due today",IF(R54-TODAY()&lt;=Lists!$N$3,"Amber – due soon","Green – on track"))))))))</f>
        <v/>
      </c>
      <c r="T54" s="44"/>
      <c r="U54" s="38"/>
      <c r="V54" s="42" t="str">
        <f aca="true">IF(OR(C54="",W54=1,N54="Won",N54="Lost"),"",IF(ISNUMBER(R54),IF(R54&lt;=TODAY(),R54+ROW()/100000,""),""))</f>
        <v/>
      </c>
      <c r="W54" s="42" t="n">
        <f aca="false">IF(OR(L54="Y",AND(G54&lt;&gt;"",COUNTIF('Do not contact'!$A$6:$A$505,G54)&gt;0)),1,0)</f>
        <v>0</v>
      </c>
    </row>
    <row r="55" customFormat="false" ht="27.75" hidden="false" customHeight="true" outlineLevel="0" collapsed="false">
      <c r="A55" s="38"/>
      <c r="B55" s="39"/>
      <c r="C55" s="38"/>
      <c r="D55" s="38"/>
      <c r="E55" s="38"/>
      <c r="F55" s="38"/>
      <c r="G55" s="38"/>
      <c r="H55" s="40"/>
      <c r="I55" s="38"/>
      <c r="J55" s="38"/>
      <c r="K55" s="38"/>
      <c r="L55" s="41"/>
      <c r="M55" s="42" t="str">
        <f aca="false">IF(C55="","",IF(W55=1,"NO – opted out. Do not email.",IF(I55="","Pick a contact type",IF(LEFT(I55,4)="Sole",IF(OR(LEFT(J55,7)="Consent",LEFT(J55,4)="Soft"),"Yes – add opt-out + privacy link",IF(LEFT(J55,8)="Contract","Reply about their enquiry only","NO – needs consent first (PECR)")),"Yes – add opt-out + privacy link"))))</f>
        <v/>
      </c>
      <c r="N55" s="38"/>
      <c r="O55" s="39"/>
      <c r="P55" s="38"/>
      <c r="Q55" s="39"/>
      <c r="R55" s="43" t="str">
        <f aca="false">IF(C55="","",IF(Q55&lt;&gt;"",Q55,IF(OR(W55=1,N55="Won",N55="Lost",N55="Parked"),"",IF(O55&lt;&gt;"",O55+Lists!$N$2,IF(B55&lt;&gt;"",B55+Lists!$N$2,"")))))</f>
        <v/>
      </c>
      <c r="S55" s="42" t="str">
        <f aca="true">IF(C55="","",IF(W55=1,"Grey – do not email",IF(N55="Won","Won",IF(OR(N55="Lost",N55="Parked"),"Closed",IF(R55="","Amber – add next action",IF(R55&lt;TODAY(),"Red – overdue",IF(R55=TODAY(),"Red – due today",IF(R55-TODAY()&lt;=Lists!$N$3,"Amber – due soon","Green – on track"))))))))</f>
        <v/>
      </c>
      <c r="T55" s="44"/>
      <c r="U55" s="38"/>
      <c r="V55" s="42" t="str">
        <f aca="true">IF(OR(C55="",W55=1,N55="Won",N55="Lost"),"",IF(ISNUMBER(R55),IF(R55&lt;=TODAY(),R55+ROW()/100000,""),""))</f>
        <v/>
      </c>
      <c r="W55" s="42" t="n">
        <f aca="false">IF(OR(L55="Y",AND(G55&lt;&gt;"",COUNTIF('Do not contact'!$A$6:$A$505,G55)&gt;0)),1,0)</f>
        <v>0</v>
      </c>
    </row>
    <row r="56" customFormat="false" ht="27.75" hidden="false" customHeight="true" outlineLevel="0" collapsed="false">
      <c r="A56" s="38"/>
      <c r="B56" s="39"/>
      <c r="C56" s="38"/>
      <c r="D56" s="38"/>
      <c r="E56" s="38"/>
      <c r="F56" s="38"/>
      <c r="G56" s="38"/>
      <c r="H56" s="40"/>
      <c r="I56" s="38"/>
      <c r="J56" s="38"/>
      <c r="K56" s="38"/>
      <c r="L56" s="41"/>
      <c r="M56" s="42" t="str">
        <f aca="false">IF(C56="","",IF(W56=1,"NO – opted out. Do not email.",IF(I56="","Pick a contact type",IF(LEFT(I56,4)="Sole",IF(OR(LEFT(J56,7)="Consent",LEFT(J56,4)="Soft"),"Yes – add opt-out + privacy link",IF(LEFT(J56,8)="Contract","Reply about their enquiry only","NO – needs consent first (PECR)")),"Yes – add opt-out + privacy link"))))</f>
        <v/>
      </c>
      <c r="N56" s="38"/>
      <c r="O56" s="39"/>
      <c r="P56" s="38"/>
      <c r="Q56" s="39"/>
      <c r="R56" s="43" t="str">
        <f aca="false">IF(C56="","",IF(Q56&lt;&gt;"",Q56,IF(OR(W56=1,N56="Won",N56="Lost",N56="Parked"),"",IF(O56&lt;&gt;"",O56+Lists!$N$2,IF(B56&lt;&gt;"",B56+Lists!$N$2,"")))))</f>
        <v/>
      </c>
      <c r="S56" s="42" t="str">
        <f aca="true">IF(C56="","",IF(W56=1,"Grey – do not email",IF(N56="Won","Won",IF(OR(N56="Lost",N56="Parked"),"Closed",IF(R56="","Amber – add next action",IF(R56&lt;TODAY(),"Red – overdue",IF(R56=TODAY(),"Red – due today",IF(R56-TODAY()&lt;=Lists!$N$3,"Amber – due soon","Green – on track"))))))))</f>
        <v/>
      </c>
      <c r="T56" s="44"/>
      <c r="U56" s="38"/>
      <c r="V56" s="42" t="str">
        <f aca="true">IF(OR(C56="",W56=1,N56="Won",N56="Lost"),"",IF(ISNUMBER(R56),IF(R56&lt;=TODAY(),R56+ROW()/100000,""),""))</f>
        <v/>
      </c>
      <c r="W56" s="42" t="n">
        <f aca="false">IF(OR(L56="Y",AND(G56&lt;&gt;"",COUNTIF('Do not contact'!$A$6:$A$505,G56)&gt;0)),1,0)</f>
        <v>0</v>
      </c>
    </row>
    <row r="57" customFormat="false" ht="27.75" hidden="false" customHeight="true" outlineLevel="0" collapsed="false">
      <c r="A57" s="38"/>
      <c r="B57" s="39"/>
      <c r="C57" s="38"/>
      <c r="D57" s="38"/>
      <c r="E57" s="38"/>
      <c r="F57" s="38"/>
      <c r="G57" s="38"/>
      <c r="H57" s="40"/>
      <c r="I57" s="38"/>
      <c r="J57" s="38"/>
      <c r="K57" s="38"/>
      <c r="L57" s="41"/>
      <c r="M57" s="42" t="str">
        <f aca="false">IF(C57="","",IF(W57=1,"NO – opted out. Do not email.",IF(I57="","Pick a contact type",IF(LEFT(I57,4)="Sole",IF(OR(LEFT(J57,7)="Consent",LEFT(J57,4)="Soft"),"Yes – add opt-out + privacy link",IF(LEFT(J57,8)="Contract","Reply about their enquiry only","NO – needs consent first (PECR)")),"Yes – add opt-out + privacy link"))))</f>
        <v/>
      </c>
      <c r="N57" s="38"/>
      <c r="O57" s="39"/>
      <c r="P57" s="38"/>
      <c r="Q57" s="39"/>
      <c r="R57" s="43" t="str">
        <f aca="false">IF(C57="","",IF(Q57&lt;&gt;"",Q57,IF(OR(W57=1,N57="Won",N57="Lost",N57="Parked"),"",IF(O57&lt;&gt;"",O57+Lists!$N$2,IF(B57&lt;&gt;"",B57+Lists!$N$2,"")))))</f>
        <v/>
      </c>
      <c r="S57" s="42" t="str">
        <f aca="true">IF(C57="","",IF(W57=1,"Grey – do not email",IF(N57="Won","Won",IF(OR(N57="Lost",N57="Parked"),"Closed",IF(R57="","Amber – add next action",IF(R57&lt;TODAY(),"Red – overdue",IF(R57=TODAY(),"Red – due today",IF(R57-TODAY()&lt;=Lists!$N$3,"Amber – due soon","Green – on track"))))))))</f>
        <v/>
      </c>
      <c r="T57" s="44"/>
      <c r="U57" s="38"/>
      <c r="V57" s="42" t="str">
        <f aca="true">IF(OR(C57="",W57=1,N57="Won",N57="Lost"),"",IF(ISNUMBER(R57),IF(R57&lt;=TODAY(),R57+ROW()/100000,""),""))</f>
        <v/>
      </c>
      <c r="W57" s="42" t="n">
        <f aca="false">IF(OR(L57="Y",AND(G57&lt;&gt;"",COUNTIF('Do not contact'!$A$6:$A$505,G57)&gt;0)),1,0)</f>
        <v>0</v>
      </c>
    </row>
    <row r="58" customFormat="false" ht="27.75" hidden="false" customHeight="true" outlineLevel="0" collapsed="false">
      <c r="A58" s="38"/>
      <c r="B58" s="39"/>
      <c r="C58" s="38"/>
      <c r="D58" s="38"/>
      <c r="E58" s="38"/>
      <c r="F58" s="38"/>
      <c r="G58" s="38"/>
      <c r="H58" s="40"/>
      <c r="I58" s="38"/>
      <c r="J58" s="38"/>
      <c r="K58" s="38"/>
      <c r="L58" s="41"/>
      <c r="M58" s="42" t="str">
        <f aca="false">IF(C58="","",IF(W58=1,"NO – opted out. Do not email.",IF(I58="","Pick a contact type",IF(LEFT(I58,4)="Sole",IF(OR(LEFT(J58,7)="Consent",LEFT(J58,4)="Soft"),"Yes – add opt-out + privacy link",IF(LEFT(J58,8)="Contract","Reply about their enquiry only","NO – needs consent first (PECR)")),"Yes – add opt-out + privacy link"))))</f>
        <v/>
      </c>
      <c r="N58" s="38"/>
      <c r="O58" s="39"/>
      <c r="P58" s="38"/>
      <c r="Q58" s="39"/>
      <c r="R58" s="43" t="str">
        <f aca="false">IF(C58="","",IF(Q58&lt;&gt;"",Q58,IF(OR(W58=1,N58="Won",N58="Lost",N58="Parked"),"",IF(O58&lt;&gt;"",O58+Lists!$N$2,IF(B58&lt;&gt;"",B58+Lists!$N$2,"")))))</f>
        <v/>
      </c>
      <c r="S58" s="42" t="str">
        <f aca="true">IF(C58="","",IF(W58=1,"Grey – do not email",IF(N58="Won","Won",IF(OR(N58="Lost",N58="Parked"),"Closed",IF(R58="","Amber – add next action",IF(R58&lt;TODAY(),"Red – overdue",IF(R58=TODAY(),"Red – due today",IF(R58-TODAY()&lt;=Lists!$N$3,"Amber – due soon","Green – on track"))))))))</f>
        <v/>
      </c>
      <c r="T58" s="44"/>
      <c r="U58" s="38"/>
      <c r="V58" s="42" t="str">
        <f aca="true">IF(OR(C58="",W58=1,N58="Won",N58="Lost"),"",IF(ISNUMBER(R58),IF(R58&lt;=TODAY(),R58+ROW()/100000,""),""))</f>
        <v/>
      </c>
      <c r="W58" s="42" t="n">
        <f aca="false">IF(OR(L58="Y",AND(G58&lt;&gt;"",COUNTIF('Do not contact'!$A$6:$A$505,G58)&gt;0)),1,0)</f>
        <v>0</v>
      </c>
    </row>
    <row r="59" customFormat="false" ht="27.75" hidden="false" customHeight="true" outlineLevel="0" collapsed="false">
      <c r="A59" s="38"/>
      <c r="B59" s="39"/>
      <c r="C59" s="38"/>
      <c r="D59" s="38"/>
      <c r="E59" s="38"/>
      <c r="F59" s="38"/>
      <c r="G59" s="38"/>
      <c r="H59" s="40"/>
      <c r="I59" s="38"/>
      <c r="J59" s="38"/>
      <c r="K59" s="38"/>
      <c r="L59" s="41"/>
      <c r="M59" s="42" t="str">
        <f aca="false">IF(C59="","",IF(W59=1,"NO – opted out. Do not email.",IF(I59="","Pick a contact type",IF(LEFT(I59,4)="Sole",IF(OR(LEFT(J59,7)="Consent",LEFT(J59,4)="Soft"),"Yes – add opt-out + privacy link",IF(LEFT(J59,8)="Contract","Reply about their enquiry only","NO – needs consent first (PECR)")),"Yes – add opt-out + privacy link"))))</f>
        <v/>
      </c>
      <c r="N59" s="38"/>
      <c r="O59" s="39"/>
      <c r="P59" s="38"/>
      <c r="Q59" s="39"/>
      <c r="R59" s="43" t="str">
        <f aca="false">IF(C59="","",IF(Q59&lt;&gt;"",Q59,IF(OR(W59=1,N59="Won",N59="Lost",N59="Parked"),"",IF(O59&lt;&gt;"",O59+Lists!$N$2,IF(B59&lt;&gt;"",B59+Lists!$N$2,"")))))</f>
        <v/>
      </c>
      <c r="S59" s="42" t="str">
        <f aca="true">IF(C59="","",IF(W59=1,"Grey – do not email",IF(N59="Won","Won",IF(OR(N59="Lost",N59="Parked"),"Closed",IF(R59="","Amber – add next action",IF(R59&lt;TODAY(),"Red – overdue",IF(R59=TODAY(),"Red – due today",IF(R59-TODAY()&lt;=Lists!$N$3,"Amber – due soon","Green – on track"))))))))</f>
        <v/>
      </c>
      <c r="T59" s="44"/>
      <c r="U59" s="38"/>
      <c r="V59" s="42" t="str">
        <f aca="true">IF(OR(C59="",W59=1,N59="Won",N59="Lost"),"",IF(ISNUMBER(R59),IF(R59&lt;=TODAY(),R59+ROW()/100000,""),""))</f>
        <v/>
      </c>
      <c r="W59" s="42" t="n">
        <f aca="false">IF(OR(L59="Y",AND(G59&lt;&gt;"",COUNTIF('Do not contact'!$A$6:$A$505,G59)&gt;0)),1,0)</f>
        <v>0</v>
      </c>
    </row>
    <row r="60" customFormat="false" ht="27.75" hidden="false" customHeight="true" outlineLevel="0" collapsed="false">
      <c r="A60" s="38"/>
      <c r="B60" s="39"/>
      <c r="C60" s="38"/>
      <c r="D60" s="38"/>
      <c r="E60" s="38"/>
      <c r="F60" s="38"/>
      <c r="G60" s="38"/>
      <c r="H60" s="40"/>
      <c r="I60" s="38"/>
      <c r="J60" s="38"/>
      <c r="K60" s="38"/>
      <c r="L60" s="41"/>
      <c r="M60" s="42" t="str">
        <f aca="false">IF(C60="","",IF(W60=1,"NO – opted out. Do not email.",IF(I60="","Pick a contact type",IF(LEFT(I60,4)="Sole",IF(OR(LEFT(J60,7)="Consent",LEFT(J60,4)="Soft"),"Yes – add opt-out + privacy link",IF(LEFT(J60,8)="Contract","Reply about their enquiry only","NO – needs consent first (PECR)")),"Yes – add opt-out + privacy link"))))</f>
        <v/>
      </c>
      <c r="N60" s="38"/>
      <c r="O60" s="39"/>
      <c r="P60" s="38"/>
      <c r="Q60" s="39"/>
      <c r="R60" s="43" t="str">
        <f aca="false">IF(C60="","",IF(Q60&lt;&gt;"",Q60,IF(OR(W60=1,N60="Won",N60="Lost",N60="Parked"),"",IF(O60&lt;&gt;"",O60+Lists!$N$2,IF(B60&lt;&gt;"",B60+Lists!$N$2,"")))))</f>
        <v/>
      </c>
      <c r="S60" s="42" t="str">
        <f aca="true">IF(C60="","",IF(W60=1,"Grey – do not email",IF(N60="Won","Won",IF(OR(N60="Lost",N60="Parked"),"Closed",IF(R60="","Amber – add next action",IF(R60&lt;TODAY(),"Red – overdue",IF(R60=TODAY(),"Red – due today",IF(R60-TODAY()&lt;=Lists!$N$3,"Amber – due soon","Green – on track"))))))))</f>
        <v/>
      </c>
      <c r="T60" s="44"/>
      <c r="U60" s="38"/>
      <c r="V60" s="42" t="str">
        <f aca="true">IF(OR(C60="",W60=1,N60="Won",N60="Lost"),"",IF(ISNUMBER(R60),IF(R60&lt;=TODAY(),R60+ROW()/100000,""),""))</f>
        <v/>
      </c>
      <c r="W60" s="42" t="n">
        <f aca="false">IF(OR(L60="Y",AND(G60&lt;&gt;"",COUNTIF('Do not contact'!$A$6:$A$505,G60)&gt;0)),1,0)</f>
        <v>0</v>
      </c>
    </row>
    <row r="61" customFormat="false" ht="27.75" hidden="false" customHeight="true" outlineLevel="0" collapsed="false">
      <c r="A61" s="38"/>
      <c r="B61" s="39"/>
      <c r="C61" s="38"/>
      <c r="D61" s="38"/>
      <c r="E61" s="38"/>
      <c r="F61" s="38"/>
      <c r="G61" s="38"/>
      <c r="H61" s="40"/>
      <c r="I61" s="38"/>
      <c r="J61" s="38"/>
      <c r="K61" s="38"/>
      <c r="L61" s="41"/>
      <c r="M61" s="42" t="str">
        <f aca="false">IF(C61="","",IF(W61=1,"NO – opted out. Do not email.",IF(I61="","Pick a contact type",IF(LEFT(I61,4)="Sole",IF(OR(LEFT(J61,7)="Consent",LEFT(J61,4)="Soft"),"Yes – add opt-out + privacy link",IF(LEFT(J61,8)="Contract","Reply about their enquiry only","NO – needs consent first (PECR)")),"Yes – add opt-out + privacy link"))))</f>
        <v/>
      </c>
      <c r="N61" s="38"/>
      <c r="O61" s="39"/>
      <c r="P61" s="38"/>
      <c r="Q61" s="39"/>
      <c r="R61" s="43" t="str">
        <f aca="false">IF(C61="","",IF(Q61&lt;&gt;"",Q61,IF(OR(W61=1,N61="Won",N61="Lost",N61="Parked"),"",IF(O61&lt;&gt;"",O61+Lists!$N$2,IF(B61&lt;&gt;"",B61+Lists!$N$2,"")))))</f>
        <v/>
      </c>
      <c r="S61" s="42" t="str">
        <f aca="true">IF(C61="","",IF(W61=1,"Grey – do not email",IF(N61="Won","Won",IF(OR(N61="Lost",N61="Parked"),"Closed",IF(R61="","Amber – add next action",IF(R61&lt;TODAY(),"Red – overdue",IF(R61=TODAY(),"Red – due today",IF(R61-TODAY()&lt;=Lists!$N$3,"Amber – due soon","Green – on track"))))))))</f>
        <v/>
      </c>
      <c r="T61" s="44"/>
      <c r="U61" s="38"/>
      <c r="V61" s="42" t="str">
        <f aca="true">IF(OR(C61="",W61=1,N61="Won",N61="Lost"),"",IF(ISNUMBER(R61),IF(R61&lt;=TODAY(),R61+ROW()/100000,""),""))</f>
        <v/>
      </c>
      <c r="W61" s="42" t="n">
        <f aca="false">IF(OR(L61="Y",AND(G61&lt;&gt;"",COUNTIF('Do not contact'!$A$6:$A$505,G61)&gt;0)),1,0)</f>
        <v>0</v>
      </c>
    </row>
    <row r="62" customFormat="false" ht="27.75" hidden="false" customHeight="true" outlineLevel="0" collapsed="false">
      <c r="A62" s="38"/>
      <c r="B62" s="39"/>
      <c r="C62" s="38"/>
      <c r="D62" s="38"/>
      <c r="E62" s="38"/>
      <c r="F62" s="38"/>
      <c r="G62" s="38"/>
      <c r="H62" s="40"/>
      <c r="I62" s="38"/>
      <c r="J62" s="38"/>
      <c r="K62" s="38"/>
      <c r="L62" s="41"/>
      <c r="M62" s="42" t="str">
        <f aca="false">IF(C62="","",IF(W62=1,"NO – opted out. Do not email.",IF(I62="","Pick a contact type",IF(LEFT(I62,4)="Sole",IF(OR(LEFT(J62,7)="Consent",LEFT(J62,4)="Soft"),"Yes – add opt-out + privacy link",IF(LEFT(J62,8)="Contract","Reply about their enquiry only","NO – needs consent first (PECR)")),"Yes – add opt-out + privacy link"))))</f>
        <v/>
      </c>
      <c r="N62" s="38"/>
      <c r="O62" s="39"/>
      <c r="P62" s="38"/>
      <c r="Q62" s="39"/>
      <c r="R62" s="43" t="str">
        <f aca="false">IF(C62="","",IF(Q62&lt;&gt;"",Q62,IF(OR(W62=1,N62="Won",N62="Lost",N62="Parked"),"",IF(O62&lt;&gt;"",O62+Lists!$N$2,IF(B62&lt;&gt;"",B62+Lists!$N$2,"")))))</f>
        <v/>
      </c>
      <c r="S62" s="42" t="str">
        <f aca="true">IF(C62="","",IF(W62=1,"Grey – do not email",IF(N62="Won","Won",IF(OR(N62="Lost",N62="Parked"),"Closed",IF(R62="","Amber – add next action",IF(R62&lt;TODAY(),"Red – overdue",IF(R62=TODAY(),"Red – due today",IF(R62-TODAY()&lt;=Lists!$N$3,"Amber – due soon","Green – on track"))))))))</f>
        <v/>
      </c>
      <c r="T62" s="44"/>
      <c r="U62" s="38"/>
      <c r="V62" s="42" t="str">
        <f aca="true">IF(OR(C62="",W62=1,N62="Won",N62="Lost"),"",IF(ISNUMBER(R62),IF(R62&lt;=TODAY(),R62+ROW()/100000,""),""))</f>
        <v/>
      </c>
      <c r="W62" s="42" t="n">
        <f aca="false">IF(OR(L62="Y",AND(G62&lt;&gt;"",COUNTIF('Do not contact'!$A$6:$A$505,G62)&gt;0)),1,0)</f>
        <v>0</v>
      </c>
    </row>
    <row r="63" customFormat="false" ht="27.75" hidden="false" customHeight="true" outlineLevel="0" collapsed="false">
      <c r="A63" s="38"/>
      <c r="B63" s="39"/>
      <c r="C63" s="38"/>
      <c r="D63" s="38"/>
      <c r="E63" s="38"/>
      <c r="F63" s="38"/>
      <c r="G63" s="38"/>
      <c r="H63" s="40"/>
      <c r="I63" s="38"/>
      <c r="J63" s="38"/>
      <c r="K63" s="38"/>
      <c r="L63" s="41"/>
      <c r="M63" s="42" t="str">
        <f aca="false">IF(C63="","",IF(W63=1,"NO – opted out. Do not email.",IF(I63="","Pick a contact type",IF(LEFT(I63,4)="Sole",IF(OR(LEFT(J63,7)="Consent",LEFT(J63,4)="Soft"),"Yes – add opt-out + privacy link",IF(LEFT(J63,8)="Contract","Reply about their enquiry only","NO – needs consent first (PECR)")),"Yes – add opt-out + privacy link"))))</f>
        <v/>
      </c>
      <c r="N63" s="38"/>
      <c r="O63" s="39"/>
      <c r="P63" s="38"/>
      <c r="Q63" s="39"/>
      <c r="R63" s="43" t="str">
        <f aca="false">IF(C63="","",IF(Q63&lt;&gt;"",Q63,IF(OR(W63=1,N63="Won",N63="Lost",N63="Parked"),"",IF(O63&lt;&gt;"",O63+Lists!$N$2,IF(B63&lt;&gt;"",B63+Lists!$N$2,"")))))</f>
        <v/>
      </c>
      <c r="S63" s="42" t="str">
        <f aca="true">IF(C63="","",IF(W63=1,"Grey – do not email",IF(N63="Won","Won",IF(OR(N63="Lost",N63="Parked"),"Closed",IF(R63="","Amber – add next action",IF(R63&lt;TODAY(),"Red – overdue",IF(R63=TODAY(),"Red – due today",IF(R63-TODAY()&lt;=Lists!$N$3,"Amber – due soon","Green – on track"))))))))</f>
        <v/>
      </c>
      <c r="T63" s="44"/>
      <c r="U63" s="38"/>
      <c r="V63" s="42" t="str">
        <f aca="true">IF(OR(C63="",W63=1,N63="Won",N63="Lost"),"",IF(ISNUMBER(R63),IF(R63&lt;=TODAY(),R63+ROW()/100000,""),""))</f>
        <v/>
      </c>
      <c r="W63" s="42" t="n">
        <f aca="false">IF(OR(L63="Y",AND(G63&lt;&gt;"",COUNTIF('Do not contact'!$A$6:$A$505,G63)&gt;0)),1,0)</f>
        <v>0</v>
      </c>
    </row>
    <row r="64" customFormat="false" ht="27.75" hidden="false" customHeight="true" outlineLevel="0" collapsed="false">
      <c r="A64" s="38"/>
      <c r="B64" s="39"/>
      <c r="C64" s="38"/>
      <c r="D64" s="38"/>
      <c r="E64" s="38"/>
      <c r="F64" s="38"/>
      <c r="G64" s="38"/>
      <c r="H64" s="40"/>
      <c r="I64" s="38"/>
      <c r="J64" s="38"/>
      <c r="K64" s="38"/>
      <c r="L64" s="41"/>
      <c r="M64" s="42" t="str">
        <f aca="false">IF(C64="","",IF(W64=1,"NO – opted out. Do not email.",IF(I64="","Pick a contact type",IF(LEFT(I64,4)="Sole",IF(OR(LEFT(J64,7)="Consent",LEFT(J64,4)="Soft"),"Yes – add opt-out + privacy link",IF(LEFT(J64,8)="Contract","Reply about their enquiry only","NO – needs consent first (PECR)")),"Yes – add opt-out + privacy link"))))</f>
        <v/>
      </c>
      <c r="N64" s="38"/>
      <c r="O64" s="39"/>
      <c r="P64" s="38"/>
      <c r="Q64" s="39"/>
      <c r="R64" s="43" t="str">
        <f aca="false">IF(C64="","",IF(Q64&lt;&gt;"",Q64,IF(OR(W64=1,N64="Won",N64="Lost",N64="Parked"),"",IF(O64&lt;&gt;"",O64+Lists!$N$2,IF(B64&lt;&gt;"",B64+Lists!$N$2,"")))))</f>
        <v/>
      </c>
      <c r="S64" s="42" t="str">
        <f aca="true">IF(C64="","",IF(W64=1,"Grey – do not email",IF(N64="Won","Won",IF(OR(N64="Lost",N64="Parked"),"Closed",IF(R64="","Amber – add next action",IF(R64&lt;TODAY(),"Red – overdue",IF(R64=TODAY(),"Red – due today",IF(R64-TODAY()&lt;=Lists!$N$3,"Amber – due soon","Green – on track"))))))))</f>
        <v/>
      </c>
      <c r="T64" s="44"/>
      <c r="U64" s="38"/>
      <c r="V64" s="42" t="str">
        <f aca="true">IF(OR(C64="",W64=1,N64="Won",N64="Lost"),"",IF(ISNUMBER(R64),IF(R64&lt;=TODAY(),R64+ROW()/100000,""),""))</f>
        <v/>
      </c>
      <c r="W64" s="42" t="n">
        <f aca="false">IF(OR(L64="Y",AND(G64&lt;&gt;"",COUNTIF('Do not contact'!$A$6:$A$505,G64)&gt;0)),1,0)</f>
        <v>0</v>
      </c>
    </row>
    <row r="65" customFormat="false" ht="27.75" hidden="false" customHeight="true" outlineLevel="0" collapsed="false">
      <c r="A65" s="38"/>
      <c r="B65" s="39"/>
      <c r="C65" s="38"/>
      <c r="D65" s="38"/>
      <c r="E65" s="38"/>
      <c r="F65" s="38"/>
      <c r="G65" s="38"/>
      <c r="H65" s="40"/>
      <c r="I65" s="38"/>
      <c r="J65" s="38"/>
      <c r="K65" s="38"/>
      <c r="L65" s="41"/>
      <c r="M65" s="42" t="str">
        <f aca="false">IF(C65="","",IF(W65=1,"NO – opted out. Do not email.",IF(I65="","Pick a contact type",IF(LEFT(I65,4)="Sole",IF(OR(LEFT(J65,7)="Consent",LEFT(J65,4)="Soft"),"Yes – add opt-out + privacy link",IF(LEFT(J65,8)="Contract","Reply about their enquiry only","NO – needs consent first (PECR)")),"Yes – add opt-out + privacy link"))))</f>
        <v/>
      </c>
      <c r="N65" s="38"/>
      <c r="O65" s="39"/>
      <c r="P65" s="38"/>
      <c r="Q65" s="39"/>
      <c r="R65" s="43" t="str">
        <f aca="false">IF(C65="","",IF(Q65&lt;&gt;"",Q65,IF(OR(W65=1,N65="Won",N65="Lost",N65="Parked"),"",IF(O65&lt;&gt;"",O65+Lists!$N$2,IF(B65&lt;&gt;"",B65+Lists!$N$2,"")))))</f>
        <v/>
      </c>
      <c r="S65" s="42" t="str">
        <f aca="true">IF(C65="","",IF(W65=1,"Grey – do not email",IF(N65="Won","Won",IF(OR(N65="Lost",N65="Parked"),"Closed",IF(R65="","Amber – add next action",IF(R65&lt;TODAY(),"Red – overdue",IF(R65=TODAY(),"Red – due today",IF(R65-TODAY()&lt;=Lists!$N$3,"Amber – due soon","Green – on track"))))))))</f>
        <v/>
      </c>
      <c r="T65" s="44"/>
      <c r="U65" s="38"/>
      <c r="V65" s="42" t="str">
        <f aca="true">IF(OR(C65="",W65=1,N65="Won",N65="Lost"),"",IF(ISNUMBER(R65),IF(R65&lt;=TODAY(),R65+ROW()/100000,""),""))</f>
        <v/>
      </c>
      <c r="W65" s="42" t="n">
        <f aca="false">IF(OR(L65="Y",AND(G65&lt;&gt;"",COUNTIF('Do not contact'!$A$6:$A$505,G65)&gt;0)),1,0)</f>
        <v>0</v>
      </c>
    </row>
    <row r="66" customFormat="false" ht="27.75" hidden="false" customHeight="true" outlineLevel="0" collapsed="false">
      <c r="A66" s="38"/>
      <c r="B66" s="39"/>
      <c r="C66" s="38"/>
      <c r="D66" s="38"/>
      <c r="E66" s="38"/>
      <c r="F66" s="38"/>
      <c r="G66" s="38"/>
      <c r="H66" s="40"/>
      <c r="I66" s="38"/>
      <c r="J66" s="38"/>
      <c r="K66" s="38"/>
      <c r="L66" s="41"/>
      <c r="M66" s="42" t="str">
        <f aca="false">IF(C66="","",IF(W66=1,"NO – opted out. Do not email.",IF(I66="","Pick a contact type",IF(LEFT(I66,4)="Sole",IF(OR(LEFT(J66,7)="Consent",LEFT(J66,4)="Soft"),"Yes – add opt-out + privacy link",IF(LEFT(J66,8)="Contract","Reply about their enquiry only","NO – needs consent first (PECR)")),"Yes – add opt-out + privacy link"))))</f>
        <v/>
      </c>
      <c r="N66" s="38"/>
      <c r="O66" s="39"/>
      <c r="P66" s="38"/>
      <c r="Q66" s="39"/>
      <c r="R66" s="43" t="str">
        <f aca="false">IF(C66="","",IF(Q66&lt;&gt;"",Q66,IF(OR(W66=1,N66="Won",N66="Lost",N66="Parked"),"",IF(O66&lt;&gt;"",O66+Lists!$N$2,IF(B66&lt;&gt;"",B66+Lists!$N$2,"")))))</f>
        <v/>
      </c>
      <c r="S66" s="42" t="str">
        <f aca="true">IF(C66="","",IF(W66=1,"Grey – do not email",IF(N66="Won","Won",IF(OR(N66="Lost",N66="Parked"),"Closed",IF(R66="","Amber – add next action",IF(R66&lt;TODAY(),"Red – overdue",IF(R66=TODAY(),"Red – due today",IF(R66-TODAY()&lt;=Lists!$N$3,"Amber – due soon","Green – on track"))))))))</f>
        <v/>
      </c>
      <c r="T66" s="44"/>
      <c r="U66" s="38"/>
      <c r="V66" s="42" t="str">
        <f aca="true">IF(OR(C66="",W66=1,N66="Won",N66="Lost"),"",IF(ISNUMBER(R66),IF(R66&lt;=TODAY(),R66+ROW()/100000,""),""))</f>
        <v/>
      </c>
      <c r="W66" s="42" t="n">
        <f aca="false">IF(OR(L66="Y",AND(G66&lt;&gt;"",COUNTIF('Do not contact'!$A$6:$A$505,G66)&gt;0)),1,0)</f>
        <v>0</v>
      </c>
    </row>
    <row r="67" customFormat="false" ht="27.75" hidden="false" customHeight="true" outlineLevel="0" collapsed="false">
      <c r="A67" s="38"/>
      <c r="B67" s="39"/>
      <c r="C67" s="38"/>
      <c r="D67" s="38"/>
      <c r="E67" s="38"/>
      <c r="F67" s="38"/>
      <c r="G67" s="38"/>
      <c r="H67" s="40"/>
      <c r="I67" s="38"/>
      <c r="J67" s="38"/>
      <c r="K67" s="38"/>
      <c r="L67" s="41"/>
      <c r="M67" s="42" t="str">
        <f aca="false">IF(C67="","",IF(W67=1,"NO – opted out. Do not email.",IF(I67="","Pick a contact type",IF(LEFT(I67,4)="Sole",IF(OR(LEFT(J67,7)="Consent",LEFT(J67,4)="Soft"),"Yes – add opt-out + privacy link",IF(LEFT(J67,8)="Contract","Reply about their enquiry only","NO – needs consent first (PECR)")),"Yes – add opt-out + privacy link"))))</f>
        <v/>
      </c>
      <c r="N67" s="38"/>
      <c r="O67" s="39"/>
      <c r="P67" s="38"/>
      <c r="Q67" s="39"/>
      <c r="R67" s="43" t="str">
        <f aca="false">IF(C67="","",IF(Q67&lt;&gt;"",Q67,IF(OR(W67=1,N67="Won",N67="Lost",N67="Parked"),"",IF(O67&lt;&gt;"",O67+Lists!$N$2,IF(B67&lt;&gt;"",B67+Lists!$N$2,"")))))</f>
        <v/>
      </c>
      <c r="S67" s="42" t="str">
        <f aca="true">IF(C67="","",IF(W67=1,"Grey – do not email",IF(N67="Won","Won",IF(OR(N67="Lost",N67="Parked"),"Closed",IF(R67="","Amber – add next action",IF(R67&lt;TODAY(),"Red – overdue",IF(R67=TODAY(),"Red – due today",IF(R67-TODAY()&lt;=Lists!$N$3,"Amber – due soon","Green – on track"))))))))</f>
        <v/>
      </c>
      <c r="T67" s="44"/>
      <c r="U67" s="38"/>
      <c r="V67" s="42" t="str">
        <f aca="true">IF(OR(C67="",W67=1,N67="Won",N67="Lost"),"",IF(ISNUMBER(R67),IF(R67&lt;=TODAY(),R67+ROW()/100000,""),""))</f>
        <v/>
      </c>
      <c r="W67" s="42" t="n">
        <f aca="false">IF(OR(L67="Y",AND(G67&lt;&gt;"",COUNTIF('Do not contact'!$A$6:$A$505,G67)&gt;0)),1,0)</f>
        <v>0</v>
      </c>
    </row>
    <row r="68" customFormat="false" ht="27.75" hidden="false" customHeight="true" outlineLevel="0" collapsed="false">
      <c r="A68" s="38"/>
      <c r="B68" s="39"/>
      <c r="C68" s="38"/>
      <c r="D68" s="38"/>
      <c r="E68" s="38"/>
      <c r="F68" s="38"/>
      <c r="G68" s="38"/>
      <c r="H68" s="40"/>
      <c r="I68" s="38"/>
      <c r="J68" s="38"/>
      <c r="K68" s="38"/>
      <c r="L68" s="41"/>
      <c r="M68" s="42" t="str">
        <f aca="false">IF(C68="","",IF(W68=1,"NO – opted out. Do not email.",IF(I68="","Pick a contact type",IF(LEFT(I68,4)="Sole",IF(OR(LEFT(J68,7)="Consent",LEFT(J68,4)="Soft"),"Yes – add opt-out + privacy link",IF(LEFT(J68,8)="Contract","Reply about their enquiry only","NO – needs consent first (PECR)")),"Yes – add opt-out + privacy link"))))</f>
        <v/>
      </c>
      <c r="N68" s="38"/>
      <c r="O68" s="39"/>
      <c r="P68" s="38"/>
      <c r="Q68" s="39"/>
      <c r="R68" s="43" t="str">
        <f aca="false">IF(C68="","",IF(Q68&lt;&gt;"",Q68,IF(OR(W68=1,N68="Won",N68="Lost",N68="Parked"),"",IF(O68&lt;&gt;"",O68+Lists!$N$2,IF(B68&lt;&gt;"",B68+Lists!$N$2,"")))))</f>
        <v/>
      </c>
      <c r="S68" s="42" t="str">
        <f aca="true">IF(C68="","",IF(W68=1,"Grey – do not email",IF(N68="Won","Won",IF(OR(N68="Lost",N68="Parked"),"Closed",IF(R68="","Amber – add next action",IF(R68&lt;TODAY(),"Red – overdue",IF(R68=TODAY(),"Red – due today",IF(R68-TODAY()&lt;=Lists!$N$3,"Amber – due soon","Green – on track"))))))))</f>
        <v/>
      </c>
      <c r="T68" s="44"/>
      <c r="U68" s="38"/>
      <c r="V68" s="42" t="str">
        <f aca="true">IF(OR(C68="",W68=1,N68="Won",N68="Lost"),"",IF(ISNUMBER(R68),IF(R68&lt;=TODAY(),R68+ROW()/100000,""),""))</f>
        <v/>
      </c>
      <c r="W68" s="42" t="n">
        <f aca="false">IF(OR(L68="Y",AND(G68&lt;&gt;"",COUNTIF('Do not contact'!$A$6:$A$505,G68)&gt;0)),1,0)</f>
        <v>0</v>
      </c>
    </row>
    <row r="69" customFormat="false" ht="27.75" hidden="false" customHeight="true" outlineLevel="0" collapsed="false">
      <c r="A69" s="38"/>
      <c r="B69" s="39"/>
      <c r="C69" s="38"/>
      <c r="D69" s="38"/>
      <c r="E69" s="38"/>
      <c r="F69" s="38"/>
      <c r="G69" s="38"/>
      <c r="H69" s="40"/>
      <c r="I69" s="38"/>
      <c r="J69" s="38"/>
      <c r="K69" s="38"/>
      <c r="L69" s="41"/>
      <c r="M69" s="42" t="str">
        <f aca="false">IF(C69="","",IF(W69=1,"NO – opted out. Do not email.",IF(I69="","Pick a contact type",IF(LEFT(I69,4)="Sole",IF(OR(LEFT(J69,7)="Consent",LEFT(J69,4)="Soft"),"Yes – add opt-out + privacy link",IF(LEFT(J69,8)="Contract","Reply about their enquiry only","NO – needs consent first (PECR)")),"Yes – add opt-out + privacy link"))))</f>
        <v/>
      </c>
      <c r="N69" s="38"/>
      <c r="O69" s="39"/>
      <c r="P69" s="38"/>
      <c r="Q69" s="39"/>
      <c r="R69" s="43" t="str">
        <f aca="false">IF(C69="","",IF(Q69&lt;&gt;"",Q69,IF(OR(W69=1,N69="Won",N69="Lost",N69="Parked"),"",IF(O69&lt;&gt;"",O69+Lists!$N$2,IF(B69&lt;&gt;"",B69+Lists!$N$2,"")))))</f>
        <v/>
      </c>
      <c r="S69" s="42" t="str">
        <f aca="true">IF(C69="","",IF(W69=1,"Grey – do not email",IF(N69="Won","Won",IF(OR(N69="Lost",N69="Parked"),"Closed",IF(R69="","Amber – add next action",IF(R69&lt;TODAY(),"Red – overdue",IF(R69=TODAY(),"Red – due today",IF(R69-TODAY()&lt;=Lists!$N$3,"Amber – due soon","Green – on track"))))))))</f>
        <v/>
      </c>
      <c r="T69" s="44"/>
      <c r="U69" s="38"/>
      <c r="V69" s="42" t="str">
        <f aca="true">IF(OR(C69="",W69=1,N69="Won",N69="Lost"),"",IF(ISNUMBER(R69),IF(R69&lt;=TODAY(),R69+ROW()/100000,""),""))</f>
        <v/>
      </c>
      <c r="W69" s="42" t="n">
        <f aca="false">IF(OR(L69="Y",AND(G69&lt;&gt;"",COUNTIF('Do not contact'!$A$6:$A$505,G69)&gt;0)),1,0)</f>
        <v>0</v>
      </c>
    </row>
    <row r="70" customFormat="false" ht="27.75" hidden="false" customHeight="true" outlineLevel="0" collapsed="false">
      <c r="A70" s="38"/>
      <c r="B70" s="39"/>
      <c r="C70" s="38"/>
      <c r="D70" s="38"/>
      <c r="E70" s="38"/>
      <c r="F70" s="38"/>
      <c r="G70" s="38"/>
      <c r="H70" s="40"/>
      <c r="I70" s="38"/>
      <c r="J70" s="38"/>
      <c r="K70" s="38"/>
      <c r="L70" s="41"/>
      <c r="M70" s="42" t="str">
        <f aca="false">IF(C70="","",IF(W70=1,"NO – opted out. Do not email.",IF(I70="","Pick a contact type",IF(LEFT(I70,4)="Sole",IF(OR(LEFT(J70,7)="Consent",LEFT(J70,4)="Soft"),"Yes – add opt-out + privacy link",IF(LEFT(J70,8)="Contract","Reply about their enquiry only","NO – needs consent first (PECR)")),"Yes – add opt-out + privacy link"))))</f>
        <v/>
      </c>
      <c r="N70" s="38"/>
      <c r="O70" s="39"/>
      <c r="P70" s="38"/>
      <c r="Q70" s="39"/>
      <c r="R70" s="43" t="str">
        <f aca="false">IF(C70="","",IF(Q70&lt;&gt;"",Q70,IF(OR(W70=1,N70="Won",N70="Lost",N70="Parked"),"",IF(O70&lt;&gt;"",O70+Lists!$N$2,IF(B70&lt;&gt;"",B70+Lists!$N$2,"")))))</f>
        <v/>
      </c>
      <c r="S70" s="42" t="str">
        <f aca="true">IF(C70="","",IF(W70=1,"Grey – do not email",IF(N70="Won","Won",IF(OR(N70="Lost",N70="Parked"),"Closed",IF(R70="","Amber – add next action",IF(R70&lt;TODAY(),"Red – overdue",IF(R70=TODAY(),"Red – due today",IF(R70-TODAY()&lt;=Lists!$N$3,"Amber – due soon","Green – on track"))))))))</f>
        <v/>
      </c>
      <c r="T70" s="44"/>
      <c r="U70" s="38"/>
      <c r="V70" s="42" t="str">
        <f aca="true">IF(OR(C70="",W70=1,N70="Won",N70="Lost"),"",IF(ISNUMBER(R70),IF(R70&lt;=TODAY(),R70+ROW()/100000,""),""))</f>
        <v/>
      </c>
      <c r="W70" s="42" t="n">
        <f aca="false">IF(OR(L70="Y",AND(G70&lt;&gt;"",COUNTIF('Do not contact'!$A$6:$A$505,G70)&gt;0)),1,0)</f>
        <v>0</v>
      </c>
    </row>
    <row r="71" customFormat="false" ht="27.75" hidden="false" customHeight="true" outlineLevel="0" collapsed="false">
      <c r="A71" s="38"/>
      <c r="B71" s="39"/>
      <c r="C71" s="38"/>
      <c r="D71" s="38"/>
      <c r="E71" s="38"/>
      <c r="F71" s="38"/>
      <c r="G71" s="38"/>
      <c r="H71" s="40"/>
      <c r="I71" s="38"/>
      <c r="J71" s="38"/>
      <c r="K71" s="38"/>
      <c r="L71" s="41"/>
      <c r="M71" s="42" t="str">
        <f aca="false">IF(C71="","",IF(W71=1,"NO – opted out. Do not email.",IF(I71="","Pick a contact type",IF(LEFT(I71,4)="Sole",IF(OR(LEFT(J71,7)="Consent",LEFT(J71,4)="Soft"),"Yes – add opt-out + privacy link",IF(LEFT(J71,8)="Contract","Reply about their enquiry only","NO – needs consent first (PECR)")),"Yes – add opt-out + privacy link"))))</f>
        <v/>
      </c>
      <c r="N71" s="38"/>
      <c r="O71" s="39"/>
      <c r="P71" s="38"/>
      <c r="Q71" s="39"/>
      <c r="R71" s="43" t="str">
        <f aca="false">IF(C71="","",IF(Q71&lt;&gt;"",Q71,IF(OR(W71=1,N71="Won",N71="Lost",N71="Parked"),"",IF(O71&lt;&gt;"",O71+Lists!$N$2,IF(B71&lt;&gt;"",B71+Lists!$N$2,"")))))</f>
        <v/>
      </c>
      <c r="S71" s="42" t="str">
        <f aca="true">IF(C71="","",IF(W71=1,"Grey – do not email",IF(N71="Won","Won",IF(OR(N71="Lost",N71="Parked"),"Closed",IF(R71="","Amber – add next action",IF(R71&lt;TODAY(),"Red – overdue",IF(R71=TODAY(),"Red – due today",IF(R71-TODAY()&lt;=Lists!$N$3,"Amber – due soon","Green – on track"))))))))</f>
        <v/>
      </c>
      <c r="T71" s="44"/>
      <c r="U71" s="38"/>
      <c r="V71" s="42" t="str">
        <f aca="true">IF(OR(C71="",W71=1,N71="Won",N71="Lost"),"",IF(ISNUMBER(R71),IF(R71&lt;=TODAY(),R71+ROW()/100000,""),""))</f>
        <v/>
      </c>
      <c r="W71" s="42" t="n">
        <f aca="false">IF(OR(L71="Y",AND(G71&lt;&gt;"",COUNTIF('Do not contact'!$A$6:$A$505,G71)&gt;0)),1,0)</f>
        <v>0</v>
      </c>
    </row>
    <row r="72" customFormat="false" ht="27.75" hidden="false" customHeight="true" outlineLevel="0" collapsed="false">
      <c r="A72" s="38"/>
      <c r="B72" s="39"/>
      <c r="C72" s="38"/>
      <c r="D72" s="38"/>
      <c r="E72" s="38"/>
      <c r="F72" s="38"/>
      <c r="G72" s="38"/>
      <c r="H72" s="40"/>
      <c r="I72" s="38"/>
      <c r="J72" s="38"/>
      <c r="K72" s="38"/>
      <c r="L72" s="41"/>
      <c r="M72" s="42" t="str">
        <f aca="false">IF(C72="","",IF(W72=1,"NO – opted out. Do not email.",IF(I72="","Pick a contact type",IF(LEFT(I72,4)="Sole",IF(OR(LEFT(J72,7)="Consent",LEFT(J72,4)="Soft"),"Yes – add opt-out + privacy link",IF(LEFT(J72,8)="Contract","Reply about their enquiry only","NO – needs consent first (PECR)")),"Yes – add opt-out + privacy link"))))</f>
        <v/>
      </c>
      <c r="N72" s="38"/>
      <c r="O72" s="39"/>
      <c r="P72" s="38"/>
      <c r="Q72" s="39"/>
      <c r="R72" s="43" t="str">
        <f aca="false">IF(C72="","",IF(Q72&lt;&gt;"",Q72,IF(OR(W72=1,N72="Won",N72="Lost",N72="Parked"),"",IF(O72&lt;&gt;"",O72+Lists!$N$2,IF(B72&lt;&gt;"",B72+Lists!$N$2,"")))))</f>
        <v/>
      </c>
      <c r="S72" s="42" t="str">
        <f aca="true">IF(C72="","",IF(W72=1,"Grey – do not email",IF(N72="Won","Won",IF(OR(N72="Lost",N72="Parked"),"Closed",IF(R72="","Amber – add next action",IF(R72&lt;TODAY(),"Red – overdue",IF(R72=TODAY(),"Red – due today",IF(R72-TODAY()&lt;=Lists!$N$3,"Amber – due soon","Green – on track"))))))))</f>
        <v/>
      </c>
      <c r="T72" s="44"/>
      <c r="U72" s="38"/>
      <c r="V72" s="42" t="str">
        <f aca="true">IF(OR(C72="",W72=1,N72="Won",N72="Lost"),"",IF(ISNUMBER(R72),IF(R72&lt;=TODAY(),R72+ROW()/100000,""),""))</f>
        <v/>
      </c>
      <c r="W72" s="42" t="n">
        <f aca="false">IF(OR(L72="Y",AND(G72&lt;&gt;"",COUNTIF('Do not contact'!$A$6:$A$505,G72)&gt;0)),1,0)</f>
        <v>0</v>
      </c>
    </row>
    <row r="73" customFormat="false" ht="27.75" hidden="false" customHeight="true" outlineLevel="0" collapsed="false">
      <c r="A73" s="38"/>
      <c r="B73" s="39"/>
      <c r="C73" s="38"/>
      <c r="D73" s="38"/>
      <c r="E73" s="38"/>
      <c r="F73" s="38"/>
      <c r="G73" s="38"/>
      <c r="H73" s="40"/>
      <c r="I73" s="38"/>
      <c r="J73" s="38"/>
      <c r="K73" s="38"/>
      <c r="L73" s="41"/>
      <c r="M73" s="42" t="str">
        <f aca="false">IF(C73="","",IF(W73=1,"NO – opted out. Do not email.",IF(I73="","Pick a contact type",IF(LEFT(I73,4)="Sole",IF(OR(LEFT(J73,7)="Consent",LEFT(J73,4)="Soft"),"Yes – add opt-out + privacy link",IF(LEFT(J73,8)="Contract","Reply about their enquiry only","NO – needs consent first (PECR)")),"Yes – add opt-out + privacy link"))))</f>
        <v/>
      </c>
      <c r="N73" s="38"/>
      <c r="O73" s="39"/>
      <c r="P73" s="38"/>
      <c r="Q73" s="39"/>
      <c r="R73" s="43" t="str">
        <f aca="false">IF(C73="","",IF(Q73&lt;&gt;"",Q73,IF(OR(W73=1,N73="Won",N73="Lost",N73="Parked"),"",IF(O73&lt;&gt;"",O73+Lists!$N$2,IF(B73&lt;&gt;"",B73+Lists!$N$2,"")))))</f>
        <v/>
      </c>
      <c r="S73" s="42" t="str">
        <f aca="true">IF(C73="","",IF(W73=1,"Grey – do not email",IF(N73="Won","Won",IF(OR(N73="Lost",N73="Parked"),"Closed",IF(R73="","Amber – add next action",IF(R73&lt;TODAY(),"Red – overdue",IF(R73=TODAY(),"Red – due today",IF(R73-TODAY()&lt;=Lists!$N$3,"Amber – due soon","Green – on track"))))))))</f>
        <v/>
      </c>
      <c r="T73" s="44"/>
      <c r="U73" s="38"/>
      <c r="V73" s="42" t="str">
        <f aca="true">IF(OR(C73="",W73=1,N73="Won",N73="Lost"),"",IF(ISNUMBER(R73),IF(R73&lt;=TODAY(),R73+ROW()/100000,""),""))</f>
        <v/>
      </c>
      <c r="W73" s="42" t="n">
        <f aca="false">IF(OR(L73="Y",AND(G73&lt;&gt;"",COUNTIF('Do not contact'!$A$6:$A$505,G73)&gt;0)),1,0)</f>
        <v>0</v>
      </c>
    </row>
    <row r="74" customFormat="false" ht="27.75" hidden="false" customHeight="true" outlineLevel="0" collapsed="false">
      <c r="A74" s="38"/>
      <c r="B74" s="39"/>
      <c r="C74" s="38"/>
      <c r="D74" s="38"/>
      <c r="E74" s="38"/>
      <c r="F74" s="38"/>
      <c r="G74" s="38"/>
      <c r="H74" s="40"/>
      <c r="I74" s="38"/>
      <c r="J74" s="38"/>
      <c r="K74" s="38"/>
      <c r="L74" s="41"/>
      <c r="M74" s="42" t="str">
        <f aca="false">IF(C74="","",IF(W74=1,"NO – opted out. Do not email.",IF(I74="","Pick a contact type",IF(LEFT(I74,4)="Sole",IF(OR(LEFT(J74,7)="Consent",LEFT(J74,4)="Soft"),"Yes – add opt-out + privacy link",IF(LEFT(J74,8)="Contract","Reply about their enquiry only","NO – needs consent first (PECR)")),"Yes – add opt-out + privacy link"))))</f>
        <v/>
      </c>
      <c r="N74" s="38"/>
      <c r="O74" s="39"/>
      <c r="P74" s="38"/>
      <c r="Q74" s="39"/>
      <c r="R74" s="43" t="str">
        <f aca="false">IF(C74="","",IF(Q74&lt;&gt;"",Q74,IF(OR(W74=1,N74="Won",N74="Lost",N74="Parked"),"",IF(O74&lt;&gt;"",O74+Lists!$N$2,IF(B74&lt;&gt;"",B74+Lists!$N$2,"")))))</f>
        <v/>
      </c>
      <c r="S74" s="42" t="str">
        <f aca="true">IF(C74="","",IF(W74=1,"Grey – do not email",IF(N74="Won","Won",IF(OR(N74="Lost",N74="Parked"),"Closed",IF(R74="","Amber – add next action",IF(R74&lt;TODAY(),"Red – overdue",IF(R74=TODAY(),"Red – due today",IF(R74-TODAY()&lt;=Lists!$N$3,"Amber – due soon","Green – on track"))))))))</f>
        <v/>
      </c>
      <c r="T74" s="44"/>
      <c r="U74" s="38"/>
      <c r="V74" s="42" t="str">
        <f aca="true">IF(OR(C74="",W74=1,N74="Won",N74="Lost"),"",IF(ISNUMBER(R74),IF(R74&lt;=TODAY(),R74+ROW()/100000,""),""))</f>
        <v/>
      </c>
      <c r="W74" s="42" t="n">
        <f aca="false">IF(OR(L74="Y",AND(G74&lt;&gt;"",COUNTIF('Do not contact'!$A$6:$A$505,G74)&gt;0)),1,0)</f>
        <v>0</v>
      </c>
    </row>
    <row r="75" customFormat="false" ht="27.75" hidden="false" customHeight="true" outlineLevel="0" collapsed="false">
      <c r="A75" s="38"/>
      <c r="B75" s="39"/>
      <c r="C75" s="38"/>
      <c r="D75" s="38"/>
      <c r="E75" s="38"/>
      <c r="F75" s="38"/>
      <c r="G75" s="38"/>
      <c r="H75" s="40"/>
      <c r="I75" s="38"/>
      <c r="J75" s="38"/>
      <c r="K75" s="38"/>
      <c r="L75" s="41"/>
      <c r="M75" s="42" t="str">
        <f aca="false">IF(C75="","",IF(W75=1,"NO – opted out. Do not email.",IF(I75="","Pick a contact type",IF(LEFT(I75,4)="Sole",IF(OR(LEFT(J75,7)="Consent",LEFT(J75,4)="Soft"),"Yes – add opt-out + privacy link",IF(LEFT(J75,8)="Contract","Reply about their enquiry only","NO – needs consent first (PECR)")),"Yes – add opt-out + privacy link"))))</f>
        <v/>
      </c>
      <c r="N75" s="38"/>
      <c r="O75" s="39"/>
      <c r="P75" s="38"/>
      <c r="Q75" s="39"/>
      <c r="R75" s="43" t="str">
        <f aca="false">IF(C75="","",IF(Q75&lt;&gt;"",Q75,IF(OR(W75=1,N75="Won",N75="Lost",N75="Parked"),"",IF(O75&lt;&gt;"",O75+Lists!$N$2,IF(B75&lt;&gt;"",B75+Lists!$N$2,"")))))</f>
        <v/>
      </c>
      <c r="S75" s="42" t="str">
        <f aca="true">IF(C75="","",IF(W75=1,"Grey – do not email",IF(N75="Won","Won",IF(OR(N75="Lost",N75="Parked"),"Closed",IF(R75="","Amber – add next action",IF(R75&lt;TODAY(),"Red – overdue",IF(R75=TODAY(),"Red – due today",IF(R75-TODAY()&lt;=Lists!$N$3,"Amber – due soon","Green – on track"))))))))</f>
        <v/>
      </c>
      <c r="T75" s="44"/>
      <c r="U75" s="38"/>
      <c r="V75" s="42" t="str">
        <f aca="true">IF(OR(C75="",W75=1,N75="Won",N75="Lost"),"",IF(ISNUMBER(R75),IF(R75&lt;=TODAY(),R75+ROW()/100000,""),""))</f>
        <v/>
      </c>
      <c r="W75" s="42" t="n">
        <f aca="false">IF(OR(L75="Y",AND(G75&lt;&gt;"",COUNTIF('Do not contact'!$A$6:$A$505,G75)&gt;0)),1,0)</f>
        <v>0</v>
      </c>
    </row>
    <row r="76" customFormat="false" ht="27.75" hidden="false" customHeight="true" outlineLevel="0" collapsed="false">
      <c r="A76" s="38"/>
      <c r="B76" s="39"/>
      <c r="C76" s="38"/>
      <c r="D76" s="38"/>
      <c r="E76" s="38"/>
      <c r="F76" s="38"/>
      <c r="G76" s="38"/>
      <c r="H76" s="40"/>
      <c r="I76" s="38"/>
      <c r="J76" s="38"/>
      <c r="K76" s="38"/>
      <c r="L76" s="41"/>
      <c r="M76" s="42" t="str">
        <f aca="false">IF(C76="","",IF(W76=1,"NO – opted out. Do not email.",IF(I76="","Pick a contact type",IF(LEFT(I76,4)="Sole",IF(OR(LEFT(J76,7)="Consent",LEFT(J76,4)="Soft"),"Yes – add opt-out + privacy link",IF(LEFT(J76,8)="Contract","Reply about their enquiry only","NO – needs consent first (PECR)")),"Yes – add opt-out + privacy link"))))</f>
        <v/>
      </c>
      <c r="N76" s="38"/>
      <c r="O76" s="39"/>
      <c r="P76" s="38"/>
      <c r="Q76" s="39"/>
      <c r="R76" s="43" t="str">
        <f aca="false">IF(C76="","",IF(Q76&lt;&gt;"",Q76,IF(OR(W76=1,N76="Won",N76="Lost",N76="Parked"),"",IF(O76&lt;&gt;"",O76+Lists!$N$2,IF(B76&lt;&gt;"",B76+Lists!$N$2,"")))))</f>
        <v/>
      </c>
      <c r="S76" s="42" t="str">
        <f aca="true">IF(C76="","",IF(W76=1,"Grey – do not email",IF(N76="Won","Won",IF(OR(N76="Lost",N76="Parked"),"Closed",IF(R76="","Amber – add next action",IF(R76&lt;TODAY(),"Red – overdue",IF(R76=TODAY(),"Red – due today",IF(R76-TODAY()&lt;=Lists!$N$3,"Amber – due soon","Green – on track"))))))))</f>
        <v/>
      </c>
      <c r="T76" s="44"/>
      <c r="U76" s="38"/>
      <c r="V76" s="42" t="str">
        <f aca="true">IF(OR(C76="",W76=1,N76="Won",N76="Lost"),"",IF(ISNUMBER(R76),IF(R76&lt;=TODAY(),R76+ROW()/100000,""),""))</f>
        <v/>
      </c>
      <c r="W76" s="42" t="n">
        <f aca="false">IF(OR(L76="Y",AND(G76&lt;&gt;"",COUNTIF('Do not contact'!$A$6:$A$505,G76)&gt;0)),1,0)</f>
        <v>0</v>
      </c>
    </row>
    <row r="77" customFormat="false" ht="27.75" hidden="false" customHeight="true" outlineLevel="0" collapsed="false">
      <c r="A77" s="38"/>
      <c r="B77" s="39"/>
      <c r="C77" s="38"/>
      <c r="D77" s="38"/>
      <c r="E77" s="38"/>
      <c r="F77" s="38"/>
      <c r="G77" s="38"/>
      <c r="H77" s="40"/>
      <c r="I77" s="38"/>
      <c r="J77" s="38"/>
      <c r="K77" s="38"/>
      <c r="L77" s="41"/>
      <c r="M77" s="42" t="str">
        <f aca="false">IF(C77="","",IF(W77=1,"NO – opted out. Do not email.",IF(I77="","Pick a contact type",IF(LEFT(I77,4)="Sole",IF(OR(LEFT(J77,7)="Consent",LEFT(J77,4)="Soft"),"Yes – add opt-out + privacy link",IF(LEFT(J77,8)="Contract","Reply about their enquiry only","NO – needs consent first (PECR)")),"Yes – add opt-out + privacy link"))))</f>
        <v/>
      </c>
      <c r="N77" s="38"/>
      <c r="O77" s="39"/>
      <c r="P77" s="38"/>
      <c r="Q77" s="39"/>
      <c r="R77" s="43" t="str">
        <f aca="false">IF(C77="","",IF(Q77&lt;&gt;"",Q77,IF(OR(W77=1,N77="Won",N77="Lost",N77="Parked"),"",IF(O77&lt;&gt;"",O77+Lists!$N$2,IF(B77&lt;&gt;"",B77+Lists!$N$2,"")))))</f>
        <v/>
      </c>
      <c r="S77" s="42" t="str">
        <f aca="true">IF(C77="","",IF(W77=1,"Grey – do not email",IF(N77="Won","Won",IF(OR(N77="Lost",N77="Parked"),"Closed",IF(R77="","Amber – add next action",IF(R77&lt;TODAY(),"Red – overdue",IF(R77=TODAY(),"Red – due today",IF(R77-TODAY()&lt;=Lists!$N$3,"Amber – due soon","Green – on track"))))))))</f>
        <v/>
      </c>
      <c r="T77" s="44"/>
      <c r="U77" s="38"/>
      <c r="V77" s="42" t="str">
        <f aca="true">IF(OR(C77="",W77=1,N77="Won",N77="Lost"),"",IF(ISNUMBER(R77),IF(R77&lt;=TODAY(),R77+ROW()/100000,""),""))</f>
        <v/>
      </c>
      <c r="W77" s="42" t="n">
        <f aca="false">IF(OR(L77="Y",AND(G77&lt;&gt;"",COUNTIF('Do not contact'!$A$6:$A$505,G77)&gt;0)),1,0)</f>
        <v>0</v>
      </c>
    </row>
    <row r="78" customFormat="false" ht="27.75" hidden="false" customHeight="true" outlineLevel="0" collapsed="false">
      <c r="A78" s="38"/>
      <c r="B78" s="39"/>
      <c r="C78" s="38"/>
      <c r="D78" s="38"/>
      <c r="E78" s="38"/>
      <c r="F78" s="38"/>
      <c r="G78" s="38"/>
      <c r="H78" s="40"/>
      <c r="I78" s="38"/>
      <c r="J78" s="38"/>
      <c r="K78" s="38"/>
      <c r="L78" s="41"/>
      <c r="M78" s="42" t="str">
        <f aca="false">IF(C78="","",IF(W78=1,"NO – opted out. Do not email.",IF(I78="","Pick a contact type",IF(LEFT(I78,4)="Sole",IF(OR(LEFT(J78,7)="Consent",LEFT(J78,4)="Soft"),"Yes – add opt-out + privacy link",IF(LEFT(J78,8)="Contract","Reply about their enquiry only","NO – needs consent first (PECR)")),"Yes – add opt-out + privacy link"))))</f>
        <v/>
      </c>
      <c r="N78" s="38"/>
      <c r="O78" s="39"/>
      <c r="P78" s="38"/>
      <c r="Q78" s="39"/>
      <c r="R78" s="43" t="str">
        <f aca="false">IF(C78="","",IF(Q78&lt;&gt;"",Q78,IF(OR(W78=1,N78="Won",N78="Lost",N78="Parked"),"",IF(O78&lt;&gt;"",O78+Lists!$N$2,IF(B78&lt;&gt;"",B78+Lists!$N$2,"")))))</f>
        <v/>
      </c>
      <c r="S78" s="42" t="str">
        <f aca="true">IF(C78="","",IF(W78=1,"Grey – do not email",IF(N78="Won","Won",IF(OR(N78="Lost",N78="Parked"),"Closed",IF(R78="","Amber – add next action",IF(R78&lt;TODAY(),"Red – overdue",IF(R78=TODAY(),"Red – due today",IF(R78-TODAY()&lt;=Lists!$N$3,"Amber – due soon","Green – on track"))))))))</f>
        <v/>
      </c>
      <c r="T78" s="44"/>
      <c r="U78" s="38"/>
      <c r="V78" s="42" t="str">
        <f aca="true">IF(OR(C78="",W78=1,N78="Won",N78="Lost"),"",IF(ISNUMBER(R78),IF(R78&lt;=TODAY(),R78+ROW()/100000,""),""))</f>
        <v/>
      </c>
      <c r="W78" s="42" t="n">
        <f aca="false">IF(OR(L78="Y",AND(G78&lt;&gt;"",COUNTIF('Do not contact'!$A$6:$A$505,G78)&gt;0)),1,0)</f>
        <v>0</v>
      </c>
    </row>
    <row r="79" customFormat="false" ht="27.75" hidden="false" customHeight="true" outlineLevel="0" collapsed="false">
      <c r="A79" s="38"/>
      <c r="B79" s="39"/>
      <c r="C79" s="38"/>
      <c r="D79" s="38"/>
      <c r="E79" s="38"/>
      <c r="F79" s="38"/>
      <c r="G79" s="38"/>
      <c r="H79" s="40"/>
      <c r="I79" s="38"/>
      <c r="J79" s="38"/>
      <c r="K79" s="38"/>
      <c r="L79" s="41"/>
      <c r="M79" s="42" t="str">
        <f aca="false">IF(C79="","",IF(W79=1,"NO – opted out. Do not email.",IF(I79="","Pick a contact type",IF(LEFT(I79,4)="Sole",IF(OR(LEFT(J79,7)="Consent",LEFT(J79,4)="Soft"),"Yes – add opt-out + privacy link",IF(LEFT(J79,8)="Contract","Reply about their enquiry only","NO – needs consent first (PECR)")),"Yes – add opt-out + privacy link"))))</f>
        <v/>
      </c>
      <c r="N79" s="38"/>
      <c r="O79" s="39"/>
      <c r="P79" s="38"/>
      <c r="Q79" s="39"/>
      <c r="R79" s="43" t="str">
        <f aca="false">IF(C79="","",IF(Q79&lt;&gt;"",Q79,IF(OR(W79=1,N79="Won",N79="Lost",N79="Parked"),"",IF(O79&lt;&gt;"",O79+Lists!$N$2,IF(B79&lt;&gt;"",B79+Lists!$N$2,"")))))</f>
        <v/>
      </c>
      <c r="S79" s="42" t="str">
        <f aca="true">IF(C79="","",IF(W79=1,"Grey – do not email",IF(N79="Won","Won",IF(OR(N79="Lost",N79="Parked"),"Closed",IF(R79="","Amber – add next action",IF(R79&lt;TODAY(),"Red – overdue",IF(R79=TODAY(),"Red – due today",IF(R79-TODAY()&lt;=Lists!$N$3,"Amber – due soon","Green – on track"))))))))</f>
        <v/>
      </c>
      <c r="T79" s="44"/>
      <c r="U79" s="38"/>
      <c r="V79" s="42" t="str">
        <f aca="true">IF(OR(C79="",W79=1,N79="Won",N79="Lost"),"",IF(ISNUMBER(R79),IF(R79&lt;=TODAY(),R79+ROW()/100000,""),""))</f>
        <v/>
      </c>
      <c r="W79" s="42" t="n">
        <f aca="false">IF(OR(L79="Y",AND(G79&lt;&gt;"",COUNTIF('Do not contact'!$A$6:$A$505,G79)&gt;0)),1,0)</f>
        <v>0</v>
      </c>
    </row>
    <row r="80" customFormat="false" ht="27.75" hidden="false" customHeight="true" outlineLevel="0" collapsed="false">
      <c r="A80" s="38"/>
      <c r="B80" s="39"/>
      <c r="C80" s="38"/>
      <c r="D80" s="38"/>
      <c r="E80" s="38"/>
      <c r="F80" s="38"/>
      <c r="G80" s="38"/>
      <c r="H80" s="40"/>
      <c r="I80" s="38"/>
      <c r="J80" s="38"/>
      <c r="K80" s="38"/>
      <c r="L80" s="41"/>
      <c r="M80" s="42" t="str">
        <f aca="false">IF(C80="","",IF(W80=1,"NO – opted out. Do not email.",IF(I80="","Pick a contact type",IF(LEFT(I80,4)="Sole",IF(OR(LEFT(J80,7)="Consent",LEFT(J80,4)="Soft"),"Yes – add opt-out + privacy link",IF(LEFT(J80,8)="Contract","Reply about their enquiry only","NO – needs consent first (PECR)")),"Yes – add opt-out + privacy link"))))</f>
        <v/>
      </c>
      <c r="N80" s="38"/>
      <c r="O80" s="39"/>
      <c r="P80" s="38"/>
      <c r="Q80" s="39"/>
      <c r="R80" s="43" t="str">
        <f aca="false">IF(C80="","",IF(Q80&lt;&gt;"",Q80,IF(OR(W80=1,N80="Won",N80="Lost",N80="Parked"),"",IF(O80&lt;&gt;"",O80+Lists!$N$2,IF(B80&lt;&gt;"",B80+Lists!$N$2,"")))))</f>
        <v/>
      </c>
      <c r="S80" s="42" t="str">
        <f aca="true">IF(C80="","",IF(W80=1,"Grey – do not email",IF(N80="Won","Won",IF(OR(N80="Lost",N80="Parked"),"Closed",IF(R80="","Amber – add next action",IF(R80&lt;TODAY(),"Red – overdue",IF(R80=TODAY(),"Red – due today",IF(R80-TODAY()&lt;=Lists!$N$3,"Amber – due soon","Green – on track"))))))))</f>
        <v/>
      </c>
      <c r="T80" s="44"/>
      <c r="U80" s="38"/>
      <c r="V80" s="42" t="str">
        <f aca="true">IF(OR(C80="",W80=1,N80="Won",N80="Lost"),"",IF(ISNUMBER(R80),IF(R80&lt;=TODAY(),R80+ROW()/100000,""),""))</f>
        <v/>
      </c>
      <c r="W80" s="42" t="n">
        <f aca="false">IF(OR(L80="Y",AND(G80&lt;&gt;"",COUNTIF('Do not contact'!$A$6:$A$505,G80)&gt;0)),1,0)</f>
        <v>0</v>
      </c>
    </row>
    <row r="81" customFormat="false" ht="27.75" hidden="false" customHeight="true" outlineLevel="0" collapsed="false">
      <c r="A81" s="38"/>
      <c r="B81" s="39"/>
      <c r="C81" s="38"/>
      <c r="D81" s="38"/>
      <c r="E81" s="38"/>
      <c r="F81" s="38"/>
      <c r="G81" s="38"/>
      <c r="H81" s="40"/>
      <c r="I81" s="38"/>
      <c r="J81" s="38"/>
      <c r="K81" s="38"/>
      <c r="L81" s="41"/>
      <c r="M81" s="42" t="str">
        <f aca="false">IF(C81="","",IF(W81=1,"NO – opted out. Do not email.",IF(I81="","Pick a contact type",IF(LEFT(I81,4)="Sole",IF(OR(LEFT(J81,7)="Consent",LEFT(J81,4)="Soft"),"Yes – add opt-out + privacy link",IF(LEFT(J81,8)="Contract","Reply about their enquiry only","NO – needs consent first (PECR)")),"Yes – add opt-out + privacy link"))))</f>
        <v/>
      </c>
      <c r="N81" s="38"/>
      <c r="O81" s="39"/>
      <c r="P81" s="38"/>
      <c r="Q81" s="39"/>
      <c r="R81" s="43" t="str">
        <f aca="false">IF(C81="","",IF(Q81&lt;&gt;"",Q81,IF(OR(W81=1,N81="Won",N81="Lost",N81="Parked"),"",IF(O81&lt;&gt;"",O81+Lists!$N$2,IF(B81&lt;&gt;"",B81+Lists!$N$2,"")))))</f>
        <v/>
      </c>
      <c r="S81" s="42" t="str">
        <f aca="true">IF(C81="","",IF(W81=1,"Grey – do not email",IF(N81="Won","Won",IF(OR(N81="Lost",N81="Parked"),"Closed",IF(R81="","Amber – add next action",IF(R81&lt;TODAY(),"Red – overdue",IF(R81=TODAY(),"Red – due today",IF(R81-TODAY()&lt;=Lists!$N$3,"Amber – due soon","Green – on track"))))))))</f>
        <v/>
      </c>
      <c r="T81" s="44"/>
      <c r="U81" s="38"/>
      <c r="V81" s="42" t="str">
        <f aca="true">IF(OR(C81="",W81=1,N81="Won",N81="Lost"),"",IF(ISNUMBER(R81),IF(R81&lt;=TODAY(),R81+ROW()/100000,""),""))</f>
        <v/>
      </c>
      <c r="W81" s="42" t="n">
        <f aca="false">IF(OR(L81="Y",AND(G81&lt;&gt;"",COUNTIF('Do not contact'!$A$6:$A$505,G81)&gt;0)),1,0)</f>
        <v>0</v>
      </c>
    </row>
    <row r="82" customFormat="false" ht="27.75" hidden="false" customHeight="true" outlineLevel="0" collapsed="false">
      <c r="A82" s="38"/>
      <c r="B82" s="39"/>
      <c r="C82" s="38"/>
      <c r="D82" s="38"/>
      <c r="E82" s="38"/>
      <c r="F82" s="38"/>
      <c r="G82" s="38"/>
      <c r="H82" s="40"/>
      <c r="I82" s="38"/>
      <c r="J82" s="38"/>
      <c r="K82" s="38"/>
      <c r="L82" s="41"/>
      <c r="M82" s="42" t="str">
        <f aca="false">IF(C82="","",IF(W82=1,"NO – opted out. Do not email.",IF(I82="","Pick a contact type",IF(LEFT(I82,4)="Sole",IF(OR(LEFT(J82,7)="Consent",LEFT(J82,4)="Soft"),"Yes – add opt-out + privacy link",IF(LEFT(J82,8)="Contract","Reply about their enquiry only","NO – needs consent first (PECR)")),"Yes – add opt-out + privacy link"))))</f>
        <v/>
      </c>
      <c r="N82" s="38"/>
      <c r="O82" s="39"/>
      <c r="P82" s="38"/>
      <c r="Q82" s="39"/>
      <c r="R82" s="43" t="str">
        <f aca="false">IF(C82="","",IF(Q82&lt;&gt;"",Q82,IF(OR(W82=1,N82="Won",N82="Lost",N82="Parked"),"",IF(O82&lt;&gt;"",O82+Lists!$N$2,IF(B82&lt;&gt;"",B82+Lists!$N$2,"")))))</f>
        <v/>
      </c>
      <c r="S82" s="42" t="str">
        <f aca="true">IF(C82="","",IF(W82=1,"Grey – do not email",IF(N82="Won","Won",IF(OR(N82="Lost",N82="Parked"),"Closed",IF(R82="","Amber – add next action",IF(R82&lt;TODAY(),"Red – overdue",IF(R82=TODAY(),"Red – due today",IF(R82-TODAY()&lt;=Lists!$N$3,"Amber – due soon","Green – on track"))))))))</f>
        <v/>
      </c>
      <c r="T82" s="44"/>
      <c r="U82" s="38"/>
      <c r="V82" s="42" t="str">
        <f aca="true">IF(OR(C82="",W82=1,N82="Won",N82="Lost"),"",IF(ISNUMBER(R82),IF(R82&lt;=TODAY(),R82+ROW()/100000,""),""))</f>
        <v/>
      </c>
      <c r="W82" s="42" t="n">
        <f aca="false">IF(OR(L82="Y",AND(G82&lt;&gt;"",COUNTIF('Do not contact'!$A$6:$A$505,G82)&gt;0)),1,0)</f>
        <v>0</v>
      </c>
    </row>
    <row r="83" customFormat="false" ht="27.75" hidden="false" customHeight="true" outlineLevel="0" collapsed="false">
      <c r="A83" s="38"/>
      <c r="B83" s="39"/>
      <c r="C83" s="38"/>
      <c r="D83" s="38"/>
      <c r="E83" s="38"/>
      <c r="F83" s="38"/>
      <c r="G83" s="38"/>
      <c r="H83" s="40"/>
      <c r="I83" s="38"/>
      <c r="J83" s="38"/>
      <c r="K83" s="38"/>
      <c r="L83" s="41"/>
      <c r="M83" s="42" t="str">
        <f aca="false">IF(C83="","",IF(W83=1,"NO – opted out. Do not email.",IF(I83="","Pick a contact type",IF(LEFT(I83,4)="Sole",IF(OR(LEFT(J83,7)="Consent",LEFT(J83,4)="Soft"),"Yes – add opt-out + privacy link",IF(LEFT(J83,8)="Contract","Reply about their enquiry only","NO – needs consent first (PECR)")),"Yes – add opt-out + privacy link"))))</f>
        <v/>
      </c>
      <c r="N83" s="38"/>
      <c r="O83" s="39"/>
      <c r="P83" s="38"/>
      <c r="Q83" s="39"/>
      <c r="R83" s="43" t="str">
        <f aca="false">IF(C83="","",IF(Q83&lt;&gt;"",Q83,IF(OR(W83=1,N83="Won",N83="Lost",N83="Parked"),"",IF(O83&lt;&gt;"",O83+Lists!$N$2,IF(B83&lt;&gt;"",B83+Lists!$N$2,"")))))</f>
        <v/>
      </c>
      <c r="S83" s="42" t="str">
        <f aca="true">IF(C83="","",IF(W83=1,"Grey – do not email",IF(N83="Won","Won",IF(OR(N83="Lost",N83="Parked"),"Closed",IF(R83="","Amber – add next action",IF(R83&lt;TODAY(),"Red – overdue",IF(R83=TODAY(),"Red – due today",IF(R83-TODAY()&lt;=Lists!$N$3,"Amber – due soon","Green – on track"))))))))</f>
        <v/>
      </c>
      <c r="T83" s="44"/>
      <c r="U83" s="38"/>
      <c r="V83" s="42" t="str">
        <f aca="true">IF(OR(C83="",W83=1,N83="Won",N83="Lost"),"",IF(ISNUMBER(R83),IF(R83&lt;=TODAY(),R83+ROW()/100000,""),""))</f>
        <v/>
      </c>
      <c r="W83" s="42" t="n">
        <f aca="false">IF(OR(L83="Y",AND(G83&lt;&gt;"",COUNTIF('Do not contact'!$A$6:$A$505,G83)&gt;0)),1,0)</f>
        <v>0</v>
      </c>
    </row>
    <row r="84" customFormat="false" ht="27.75" hidden="false" customHeight="true" outlineLevel="0" collapsed="false">
      <c r="A84" s="38"/>
      <c r="B84" s="39"/>
      <c r="C84" s="38"/>
      <c r="D84" s="38"/>
      <c r="E84" s="38"/>
      <c r="F84" s="38"/>
      <c r="G84" s="38"/>
      <c r="H84" s="40"/>
      <c r="I84" s="38"/>
      <c r="J84" s="38"/>
      <c r="K84" s="38"/>
      <c r="L84" s="41"/>
      <c r="M84" s="42" t="str">
        <f aca="false">IF(C84="","",IF(W84=1,"NO – opted out. Do not email.",IF(I84="","Pick a contact type",IF(LEFT(I84,4)="Sole",IF(OR(LEFT(J84,7)="Consent",LEFT(J84,4)="Soft"),"Yes – add opt-out + privacy link",IF(LEFT(J84,8)="Contract","Reply about their enquiry only","NO – needs consent first (PECR)")),"Yes – add opt-out + privacy link"))))</f>
        <v/>
      </c>
      <c r="N84" s="38"/>
      <c r="O84" s="39"/>
      <c r="P84" s="38"/>
      <c r="Q84" s="39"/>
      <c r="R84" s="43" t="str">
        <f aca="false">IF(C84="","",IF(Q84&lt;&gt;"",Q84,IF(OR(W84=1,N84="Won",N84="Lost",N84="Parked"),"",IF(O84&lt;&gt;"",O84+Lists!$N$2,IF(B84&lt;&gt;"",B84+Lists!$N$2,"")))))</f>
        <v/>
      </c>
      <c r="S84" s="42" t="str">
        <f aca="true">IF(C84="","",IF(W84=1,"Grey – do not email",IF(N84="Won","Won",IF(OR(N84="Lost",N84="Parked"),"Closed",IF(R84="","Amber – add next action",IF(R84&lt;TODAY(),"Red – overdue",IF(R84=TODAY(),"Red – due today",IF(R84-TODAY()&lt;=Lists!$N$3,"Amber – due soon","Green – on track"))))))))</f>
        <v/>
      </c>
      <c r="T84" s="44"/>
      <c r="U84" s="38"/>
      <c r="V84" s="42" t="str">
        <f aca="true">IF(OR(C84="",W84=1,N84="Won",N84="Lost"),"",IF(ISNUMBER(R84),IF(R84&lt;=TODAY(),R84+ROW()/100000,""),""))</f>
        <v/>
      </c>
      <c r="W84" s="42" t="n">
        <f aca="false">IF(OR(L84="Y",AND(G84&lt;&gt;"",COUNTIF('Do not contact'!$A$6:$A$505,G84)&gt;0)),1,0)</f>
        <v>0</v>
      </c>
    </row>
    <row r="85" customFormat="false" ht="27.75" hidden="false" customHeight="true" outlineLevel="0" collapsed="false">
      <c r="A85" s="38"/>
      <c r="B85" s="39"/>
      <c r="C85" s="38"/>
      <c r="D85" s="38"/>
      <c r="E85" s="38"/>
      <c r="F85" s="38"/>
      <c r="G85" s="38"/>
      <c r="H85" s="40"/>
      <c r="I85" s="38"/>
      <c r="J85" s="38"/>
      <c r="K85" s="38"/>
      <c r="L85" s="41"/>
      <c r="M85" s="42" t="str">
        <f aca="false">IF(C85="","",IF(W85=1,"NO – opted out. Do not email.",IF(I85="","Pick a contact type",IF(LEFT(I85,4)="Sole",IF(OR(LEFT(J85,7)="Consent",LEFT(J85,4)="Soft"),"Yes – add opt-out + privacy link",IF(LEFT(J85,8)="Contract","Reply about their enquiry only","NO – needs consent first (PECR)")),"Yes – add opt-out + privacy link"))))</f>
        <v/>
      </c>
      <c r="N85" s="38"/>
      <c r="O85" s="39"/>
      <c r="P85" s="38"/>
      <c r="Q85" s="39"/>
      <c r="R85" s="43" t="str">
        <f aca="false">IF(C85="","",IF(Q85&lt;&gt;"",Q85,IF(OR(W85=1,N85="Won",N85="Lost",N85="Parked"),"",IF(O85&lt;&gt;"",O85+Lists!$N$2,IF(B85&lt;&gt;"",B85+Lists!$N$2,"")))))</f>
        <v/>
      </c>
      <c r="S85" s="42" t="str">
        <f aca="true">IF(C85="","",IF(W85=1,"Grey – do not email",IF(N85="Won","Won",IF(OR(N85="Lost",N85="Parked"),"Closed",IF(R85="","Amber – add next action",IF(R85&lt;TODAY(),"Red – overdue",IF(R85=TODAY(),"Red – due today",IF(R85-TODAY()&lt;=Lists!$N$3,"Amber – due soon","Green – on track"))))))))</f>
        <v/>
      </c>
      <c r="T85" s="44"/>
      <c r="U85" s="38"/>
      <c r="V85" s="42" t="str">
        <f aca="true">IF(OR(C85="",W85=1,N85="Won",N85="Lost"),"",IF(ISNUMBER(R85),IF(R85&lt;=TODAY(),R85+ROW()/100000,""),""))</f>
        <v/>
      </c>
      <c r="W85" s="42" t="n">
        <f aca="false">IF(OR(L85="Y",AND(G85&lt;&gt;"",COUNTIF('Do not contact'!$A$6:$A$505,G85)&gt;0)),1,0)</f>
        <v>0</v>
      </c>
    </row>
    <row r="86" customFormat="false" ht="27.75" hidden="false" customHeight="true" outlineLevel="0" collapsed="false">
      <c r="A86" s="38"/>
      <c r="B86" s="39"/>
      <c r="C86" s="38"/>
      <c r="D86" s="38"/>
      <c r="E86" s="38"/>
      <c r="F86" s="38"/>
      <c r="G86" s="38"/>
      <c r="H86" s="40"/>
      <c r="I86" s="38"/>
      <c r="J86" s="38"/>
      <c r="K86" s="38"/>
      <c r="L86" s="41"/>
      <c r="M86" s="42" t="str">
        <f aca="false">IF(C86="","",IF(W86=1,"NO – opted out. Do not email.",IF(I86="","Pick a contact type",IF(LEFT(I86,4)="Sole",IF(OR(LEFT(J86,7)="Consent",LEFT(J86,4)="Soft"),"Yes – add opt-out + privacy link",IF(LEFT(J86,8)="Contract","Reply about their enquiry only","NO – needs consent first (PECR)")),"Yes – add opt-out + privacy link"))))</f>
        <v/>
      </c>
      <c r="N86" s="38"/>
      <c r="O86" s="39"/>
      <c r="P86" s="38"/>
      <c r="Q86" s="39"/>
      <c r="R86" s="43" t="str">
        <f aca="false">IF(C86="","",IF(Q86&lt;&gt;"",Q86,IF(OR(W86=1,N86="Won",N86="Lost",N86="Parked"),"",IF(O86&lt;&gt;"",O86+Lists!$N$2,IF(B86&lt;&gt;"",B86+Lists!$N$2,"")))))</f>
        <v/>
      </c>
      <c r="S86" s="42" t="str">
        <f aca="true">IF(C86="","",IF(W86=1,"Grey – do not email",IF(N86="Won","Won",IF(OR(N86="Lost",N86="Parked"),"Closed",IF(R86="","Amber – add next action",IF(R86&lt;TODAY(),"Red – overdue",IF(R86=TODAY(),"Red – due today",IF(R86-TODAY()&lt;=Lists!$N$3,"Amber – due soon","Green – on track"))))))))</f>
        <v/>
      </c>
      <c r="T86" s="44"/>
      <c r="U86" s="38"/>
      <c r="V86" s="42" t="str">
        <f aca="true">IF(OR(C86="",W86=1,N86="Won",N86="Lost"),"",IF(ISNUMBER(R86),IF(R86&lt;=TODAY(),R86+ROW()/100000,""),""))</f>
        <v/>
      </c>
      <c r="W86" s="42" t="n">
        <f aca="false">IF(OR(L86="Y",AND(G86&lt;&gt;"",COUNTIF('Do not contact'!$A$6:$A$505,G86)&gt;0)),1,0)</f>
        <v>0</v>
      </c>
    </row>
    <row r="87" customFormat="false" ht="27.75" hidden="false" customHeight="true" outlineLevel="0" collapsed="false">
      <c r="A87" s="38"/>
      <c r="B87" s="39"/>
      <c r="C87" s="38"/>
      <c r="D87" s="38"/>
      <c r="E87" s="38"/>
      <c r="F87" s="38"/>
      <c r="G87" s="38"/>
      <c r="H87" s="40"/>
      <c r="I87" s="38"/>
      <c r="J87" s="38"/>
      <c r="K87" s="38"/>
      <c r="L87" s="41"/>
      <c r="M87" s="42" t="str">
        <f aca="false">IF(C87="","",IF(W87=1,"NO – opted out. Do not email.",IF(I87="","Pick a contact type",IF(LEFT(I87,4)="Sole",IF(OR(LEFT(J87,7)="Consent",LEFT(J87,4)="Soft"),"Yes – add opt-out + privacy link",IF(LEFT(J87,8)="Contract","Reply about their enquiry only","NO – needs consent first (PECR)")),"Yes – add opt-out + privacy link"))))</f>
        <v/>
      </c>
      <c r="N87" s="38"/>
      <c r="O87" s="39"/>
      <c r="P87" s="38"/>
      <c r="Q87" s="39"/>
      <c r="R87" s="43" t="str">
        <f aca="false">IF(C87="","",IF(Q87&lt;&gt;"",Q87,IF(OR(W87=1,N87="Won",N87="Lost",N87="Parked"),"",IF(O87&lt;&gt;"",O87+Lists!$N$2,IF(B87&lt;&gt;"",B87+Lists!$N$2,"")))))</f>
        <v/>
      </c>
      <c r="S87" s="42" t="str">
        <f aca="true">IF(C87="","",IF(W87=1,"Grey – do not email",IF(N87="Won","Won",IF(OR(N87="Lost",N87="Parked"),"Closed",IF(R87="","Amber – add next action",IF(R87&lt;TODAY(),"Red – overdue",IF(R87=TODAY(),"Red – due today",IF(R87-TODAY()&lt;=Lists!$N$3,"Amber – due soon","Green – on track"))))))))</f>
        <v/>
      </c>
      <c r="T87" s="44"/>
      <c r="U87" s="38"/>
      <c r="V87" s="42" t="str">
        <f aca="true">IF(OR(C87="",W87=1,N87="Won",N87="Lost"),"",IF(ISNUMBER(R87),IF(R87&lt;=TODAY(),R87+ROW()/100000,""),""))</f>
        <v/>
      </c>
      <c r="W87" s="42" t="n">
        <f aca="false">IF(OR(L87="Y",AND(G87&lt;&gt;"",COUNTIF('Do not contact'!$A$6:$A$505,G87)&gt;0)),1,0)</f>
        <v>0</v>
      </c>
    </row>
    <row r="88" customFormat="false" ht="27.75" hidden="false" customHeight="true" outlineLevel="0" collapsed="false">
      <c r="A88" s="38"/>
      <c r="B88" s="39"/>
      <c r="C88" s="38"/>
      <c r="D88" s="38"/>
      <c r="E88" s="38"/>
      <c r="F88" s="38"/>
      <c r="G88" s="38"/>
      <c r="H88" s="40"/>
      <c r="I88" s="38"/>
      <c r="J88" s="38"/>
      <c r="K88" s="38"/>
      <c r="L88" s="41"/>
      <c r="M88" s="42" t="str">
        <f aca="false">IF(C88="","",IF(W88=1,"NO – opted out. Do not email.",IF(I88="","Pick a contact type",IF(LEFT(I88,4)="Sole",IF(OR(LEFT(J88,7)="Consent",LEFT(J88,4)="Soft"),"Yes – add opt-out + privacy link",IF(LEFT(J88,8)="Contract","Reply about their enquiry only","NO – needs consent first (PECR)")),"Yes – add opt-out + privacy link"))))</f>
        <v/>
      </c>
      <c r="N88" s="38"/>
      <c r="O88" s="39"/>
      <c r="P88" s="38"/>
      <c r="Q88" s="39"/>
      <c r="R88" s="43" t="str">
        <f aca="false">IF(C88="","",IF(Q88&lt;&gt;"",Q88,IF(OR(W88=1,N88="Won",N88="Lost",N88="Parked"),"",IF(O88&lt;&gt;"",O88+Lists!$N$2,IF(B88&lt;&gt;"",B88+Lists!$N$2,"")))))</f>
        <v/>
      </c>
      <c r="S88" s="42" t="str">
        <f aca="true">IF(C88="","",IF(W88=1,"Grey – do not email",IF(N88="Won","Won",IF(OR(N88="Lost",N88="Parked"),"Closed",IF(R88="","Amber – add next action",IF(R88&lt;TODAY(),"Red – overdue",IF(R88=TODAY(),"Red – due today",IF(R88-TODAY()&lt;=Lists!$N$3,"Amber – due soon","Green – on track"))))))))</f>
        <v/>
      </c>
      <c r="T88" s="44"/>
      <c r="U88" s="38"/>
      <c r="V88" s="42" t="str">
        <f aca="true">IF(OR(C88="",W88=1,N88="Won",N88="Lost"),"",IF(ISNUMBER(R88),IF(R88&lt;=TODAY(),R88+ROW()/100000,""),""))</f>
        <v/>
      </c>
      <c r="W88" s="42" t="n">
        <f aca="false">IF(OR(L88="Y",AND(G88&lt;&gt;"",COUNTIF('Do not contact'!$A$6:$A$505,G88)&gt;0)),1,0)</f>
        <v>0</v>
      </c>
    </row>
    <row r="89" customFormat="false" ht="27.75" hidden="false" customHeight="true" outlineLevel="0" collapsed="false">
      <c r="A89" s="38"/>
      <c r="B89" s="39"/>
      <c r="C89" s="38"/>
      <c r="D89" s="38"/>
      <c r="E89" s="38"/>
      <c r="F89" s="38"/>
      <c r="G89" s="38"/>
      <c r="H89" s="40"/>
      <c r="I89" s="38"/>
      <c r="J89" s="38"/>
      <c r="K89" s="38"/>
      <c r="L89" s="41"/>
      <c r="M89" s="42" t="str">
        <f aca="false">IF(C89="","",IF(W89=1,"NO – opted out. Do not email.",IF(I89="","Pick a contact type",IF(LEFT(I89,4)="Sole",IF(OR(LEFT(J89,7)="Consent",LEFT(J89,4)="Soft"),"Yes – add opt-out + privacy link",IF(LEFT(J89,8)="Contract","Reply about their enquiry only","NO – needs consent first (PECR)")),"Yes – add opt-out + privacy link"))))</f>
        <v/>
      </c>
      <c r="N89" s="38"/>
      <c r="O89" s="39"/>
      <c r="P89" s="38"/>
      <c r="Q89" s="39"/>
      <c r="R89" s="43" t="str">
        <f aca="false">IF(C89="","",IF(Q89&lt;&gt;"",Q89,IF(OR(W89=1,N89="Won",N89="Lost",N89="Parked"),"",IF(O89&lt;&gt;"",O89+Lists!$N$2,IF(B89&lt;&gt;"",B89+Lists!$N$2,"")))))</f>
        <v/>
      </c>
      <c r="S89" s="42" t="str">
        <f aca="true">IF(C89="","",IF(W89=1,"Grey – do not email",IF(N89="Won","Won",IF(OR(N89="Lost",N89="Parked"),"Closed",IF(R89="","Amber – add next action",IF(R89&lt;TODAY(),"Red – overdue",IF(R89=TODAY(),"Red – due today",IF(R89-TODAY()&lt;=Lists!$N$3,"Amber – due soon","Green – on track"))))))))</f>
        <v/>
      </c>
      <c r="T89" s="44"/>
      <c r="U89" s="38"/>
      <c r="V89" s="42" t="str">
        <f aca="true">IF(OR(C89="",W89=1,N89="Won",N89="Lost"),"",IF(ISNUMBER(R89),IF(R89&lt;=TODAY(),R89+ROW()/100000,""),""))</f>
        <v/>
      </c>
      <c r="W89" s="42" t="n">
        <f aca="false">IF(OR(L89="Y",AND(G89&lt;&gt;"",COUNTIF('Do not contact'!$A$6:$A$505,G89)&gt;0)),1,0)</f>
        <v>0</v>
      </c>
    </row>
    <row r="90" customFormat="false" ht="27.75" hidden="false" customHeight="true" outlineLevel="0" collapsed="false">
      <c r="A90" s="38"/>
      <c r="B90" s="39"/>
      <c r="C90" s="38"/>
      <c r="D90" s="38"/>
      <c r="E90" s="38"/>
      <c r="F90" s="38"/>
      <c r="G90" s="38"/>
      <c r="H90" s="40"/>
      <c r="I90" s="38"/>
      <c r="J90" s="38"/>
      <c r="K90" s="38"/>
      <c r="L90" s="41"/>
      <c r="M90" s="42" t="str">
        <f aca="false">IF(C90="","",IF(W90=1,"NO – opted out. Do not email.",IF(I90="","Pick a contact type",IF(LEFT(I90,4)="Sole",IF(OR(LEFT(J90,7)="Consent",LEFT(J90,4)="Soft"),"Yes – add opt-out + privacy link",IF(LEFT(J90,8)="Contract","Reply about their enquiry only","NO – needs consent first (PECR)")),"Yes – add opt-out + privacy link"))))</f>
        <v/>
      </c>
      <c r="N90" s="38"/>
      <c r="O90" s="39"/>
      <c r="P90" s="38"/>
      <c r="Q90" s="39"/>
      <c r="R90" s="43" t="str">
        <f aca="false">IF(C90="","",IF(Q90&lt;&gt;"",Q90,IF(OR(W90=1,N90="Won",N90="Lost",N90="Parked"),"",IF(O90&lt;&gt;"",O90+Lists!$N$2,IF(B90&lt;&gt;"",B90+Lists!$N$2,"")))))</f>
        <v/>
      </c>
      <c r="S90" s="42" t="str">
        <f aca="true">IF(C90="","",IF(W90=1,"Grey – do not email",IF(N90="Won","Won",IF(OR(N90="Lost",N90="Parked"),"Closed",IF(R90="","Amber – add next action",IF(R90&lt;TODAY(),"Red – overdue",IF(R90=TODAY(),"Red – due today",IF(R90-TODAY()&lt;=Lists!$N$3,"Amber – due soon","Green – on track"))))))))</f>
        <v/>
      </c>
      <c r="T90" s="44"/>
      <c r="U90" s="38"/>
      <c r="V90" s="42" t="str">
        <f aca="true">IF(OR(C90="",W90=1,N90="Won",N90="Lost"),"",IF(ISNUMBER(R90),IF(R90&lt;=TODAY(),R90+ROW()/100000,""),""))</f>
        <v/>
      </c>
      <c r="W90" s="42" t="n">
        <f aca="false">IF(OR(L90="Y",AND(G90&lt;&gt;"",COUNTIF('Do not contact'!$A$6:$A$505,G90)&gt;0)),1,0)</f>
        <v>0</v>
      </c>
    </row>
    <row r="91" customFormat="false" ht="27.75" hidden="false" customHeight="true" outlineLevel="0" collapsed="false">
      <c r="A91" s="38"/>
      <c r="B91" s="39"/>
      <c r="C91" s="38"/>
      <c r="D91" s="38"/>
      <c r="E91" s="38"/>
      <c r="F91" s="38"/>
      <c r="G91" s="38"/>
      <c r="H91" s="40"/>
      <c r="I91" s="38"/>
      <c r="J91" s="38"/>
      <c r="K91" s="38"/>
      <c r="L91" s="41"/>
      <c r="M91" s="42" t="str">
        <f aca="false">IF(C91="","",IF(W91=1,"NO – opted out. Do not email.",IF(I91="","Pick a contact type",IF(LEFT(I91,4)="Sole",IF(OR(LEFT(J91,7)="Consent",LEFT(J91,4)="Soft"),"Yes – add opt-out + privacy link",IF(LEFT(J91,8)="Contract","Reply about their enquiry only","NO – needs consent first (PECR)")),"Yes – add opt-out + privacy link"))))</f>
        <v/>
      </c>
      <c r="N91" s="38"/>
      <c r="O91" s="39"/>
      <c r="P91" s="38"/>
      <c r="Q91" s="39"/>
      <c r="R91" s="43" t="str">
        <f aca="false">IF(C91="","",IF(Q91&lt;&gt;"",Q91,IF(OR(W91=1,N91="Won",N91="Lost",N91="Parked"),"",IF(O91&lt;&gt;"",O91+Lists!$N$2,IF(B91&lt;&gt;"",B91+Lists!$N$2,"")))))</f>
        <v/>
      </c>
      <c r="S91" s="42" t="str">
        <f aca="true">IF(C91="","",IF(W91=1,"Grey – do not email",IF(N91="Won","Won",IF(OR(N91="Lost",N91="Parked"),"Closed",IF(R91="","Amber – add next action",IF(R91&lt;TODAY(),"Red – overdue",IF(R91=TODAY(),"Red – due today",IF(R91-TODAY()&lt;=Lists!$N$3,"Amber – due soon","Green – on track"))))))))</f>
        <v/>
      </c>
      <c r="T91" s="44"/>
      <c r="U91" s="38"/>
      <c r="V91" s="42" t="str">
        <f aca="true">IF(OR(C91="",W91=1,N91="Won",N91="Lost"),"",IF(ISNUMBER(R91),IF(R91&lt;=TODAY(),R91+ROW()/100000,""),""))</f>
        <v/>
      </c>
      <c r="W91" s="42" t="n">
        <f aca="false">IF(OR(L91="Y",AND(G91&lt;&gt;"",COUNTIF('Do not contact'!$A$6:$A$505,G91)&gt;0)),1,0)</f>
        <v>0</v>
      </c>
    </row>
    <row r="92" customFormat="false" ht="27.75" hidden="false" customHeight="true" outlineLevel="0" collapsed="false">
      <c r="A92" s="38"/>
      <c r="B92" s="39"/>
      <c r="C92" s="38"/>
      <c r="D92" s="38"/>
      <c r="E92" s="38"/>
      <c r="F92" s="38"/>
      <c r="G92" s="38"/>
      <c r="H92" s="40"/>
      <c r="I92" s="38"/>
      <c r="J92" s="38"/>
      <c r="K92" s="38"/>
      <c r="L92" s="41"/>
      <c r="M92" s="42" t="str">
        <f aca="false">IF(C92="","",IF(W92=1,"NO – opted out. Do not email.",IF(I92="","Pick a contact type",IF(LEFT(I92,4)="Sole",IF(OR(LEFT(J92,7)="Consent",LEFT(J92,4)="Soft"),"Yes – add opt-out + privacy link",IF(LEFT(J92,8)="Contract","Reply about their enquiry only","NO – needs consent first (PECR)")),"Yes – add opt-out + privacy link"))))</f>
        <v/>
      </c>
      <c r="N92" s="38"/>
      <c r="O92" s="39"/>
      <c r="P92" s="38"/>
      <c r="Q92" s="39"/>
      <c r="R92" s="43" t="str">
        <f aca="false">IF(C92="","",IF(Q92&lt;&gt;"",Q92,IF(OR(W92=1,N92="Won",N92="Lost",N92="Parked"),"",IF(O92&lt;&gt;"",O92+Lists!$N$2,IF(B92&lt;&gt;"",B92+Lists!$N$2,"")))))</f>
        <v/>
      </c>
      <c r="S92" s="42" t="str">
        <f aca="true">IF(C92="","",IF(W92=1,"Grey – do not email",IF(N92="Won","Won",IF(OR(N92="Lost",N92="Parked"),"Closed",IF(R92="","Amber – add next action",IF(R92&lt;TODAY(),"Red – overdue",IF(R92=TODAY(),"Red – due today",IF(R92-TODAY()&lt;=Lists!$N$3,"Amber – due soon","Green – on track"))))))))</f>
        <v/>
      </c>
      <c r="T92" s="44"/>
      <c r="U92" s="38"/>
      <c r="V92" s="42" t="str">
        <f aca="true">IF(OR(C92="",W92=1,N92="Won",N92="Lost"),"",IF(ISNUMBER(R92),IF(R92&lt;=TODAY(),R92+ROW()/100000,""),""))</f>
        <v/>
      </c>
      <c r="W92" s="42" t="n">
        <f aca="false">IF(OR(L92="Y",AND(G92&lt;&gt;"",COUNTIF('Do not contact'!$A$6:$A$505,G92)&gt;0)),1,0)</f>
        <v>0</v>
      </c>
    </row>
    <row r="93" customFormat="false" ht="27.75" hidden="false" customHeight="true" outlineLevel="0" collapsed="false">
      <c r="A93" s="38"/>
      <c r="B93" s="39"/>
      <c r="C93" s="38"/>
      <c r="D93" s="38"/>
      <c r="E93" s="38"/>
      <c r="F93" s="38"/>
      <c r="G93" s="38"/>
      <c r="H93" s="40"/>
      <c r="I93" s="38"/>
      <c r="J93" s="38"/>
      <c r="K93" s="38"/>
      <c r="L93" s="41"/>
      <c r="M93" s="42" t="str">
        <f aca="false">IF(C93="","",IF(W93=1,"NO – opted out. Do not email.",IF(I93="","Pick a contact type",IF(LEFT(I93,4)="Sole",IF(OR(LEFT(J93,7)="Consent",LEFT(J93,4)="Soft"),"Yes – add opt-out + privacy link",IF(LEFT(J93,8)="Contract","Reply about their enquiry only","NO – needs consent first (PECR)")),"Yes – add opt-out + privacy link"))))</f>
        <v/>
      </c>
      <c r="N93" s="38"/>
      <c r="O93" s="39"/>
      <c r="P93" s="38"/>
      <c r="Q93" s="39"/>
      <c r="R93" s="43" t="str">
        <f aca="false">IF(C93="","",IF(Q93&lt;&gt;"",Q93,IF(OR(W93=1,N93="Won",N93="Lost",N93="Parked"),"",IF(O93&lt;&gt;"",O93+Lists!$N$2,IF(B93&lt;&gt;"",B93+Lists!$N$2,"")))))</f>
        <v/>
      </c>
      <c r="S93" s="42" t="str">
        <f aca="true">IF(C93="","",IF(W93=1,"Grey – do not email",IF(N93="Won","Won",IF(OR(N93="Lost",N93="Parked"),"Closed",IF(R93="","Amber – add next action",IF(R93&lt;TODAY(),"Red – overdue",IF(R93=TODAY(),"Red – due today",IF(R93-TODAY()&lt;=Lists!$N$3,"Amber – due soon","Green – on track"))))))))</f>
        <v/>
      </c>
      <c r="T93" s="44"/>
      <c r="U93" s="38"/>
      <c r="V93" s="42" t="str">
        <f aca="true">IF(OR(C93="",W93=1,N93="Won",N93="Lost"),"",IF(ISNUMBER(R93),IF(R93&lt;=TODAY(),R93+ROW()/100000,""),""))</f>
        <v/>
      </c>
      <c r="W93" s="42" t="n">
        <f aca="false">IF(OR(L93="Y",AND(G93&lt;&gt;"",COUNTIF('Do not contact'!$A$6:$A$505,G93)&gt;0)),1,0)</f>
        <v>0</v>
      </c>
    </row>
    <row r="94" customFormat="false" ht="27.75" hidden="false" customHeight="true" outlineLevel="0" collapsed="false">
      <c r="A94" s="38"/>
      <c r="B94" s="39"/>
      <c r="C94" s="38"/>
      <c r="D94" s="38"/>
      <c r="E94" s="38"/>
      <c r="F94" s="38"/>
      <c r="G94" s="38"/>
      <c r="H94" s="40"/>
      <c r="I94" s="38"/>
      <c r="J94" s="38"/>
      <c r="K94" s="38"/>
      <c r="L94" s="41"/>
      <c r="M94" s="42" t="str">
        <f aca="false">IF(C94="","",IF(W94=1,"NO – opted out. Do not email.",IF(I94="","Pick a contact type",IF(LEFT(I94,4)="Sole",IF(OR(LEFT(J94,7)="Consent",LEFT(J94,4)="Soft"),"Yes – add opt-out + privacy link",IF(LEFT(J94,8)="Contract","Reply about their enquiry only","NO – needs consent first (PECR)")),"Yes – add opt-out + privacy link"))))</f>
        <v/>
      </c>
      <c r="N94" s="38"/>
      <c r="O94" s="39"/>
      <c r="P94" s="38"/>
      <c r="Q94" s="39"/>
      <c r="R94" s="43" t="str">
        <f aca="false">IF(C94="","",IF(Q94&lt;&gt;"",Q94,IF(OR(W94=1,N94="Won",N94="Lost",N94="Parked"),"",IF(O94&lt;&gt;"",O94+Lists!$N$2,IF(B94&lt;&gt;"",B94+Lists!$N$2,"")))))</f>
        <v/>
      </c>
      <c r="S94" s="42" t="str">
        <f aca="true">IF(C94="","",IF(W94=1,"Grey – do not email",IF(N94="Won","Won",IF(OR(N94="Lost",N94="Parked"),"Closed",IF(R94="","Amber – add next action",IF(R94&lt;TODAY(),"Red – overdue",IF(R94=TODAY(),"Red – due today",IF(R94-TODAY()&lt;=Lists!$N$3,"Amber – due soon","Green – on track"))))))))</f>
        <v/>
      </c>
      <c r="T94" s="44"/>
      <c r="U94" s="38"/>
      <c r="V94" s="42" t="str">
        <f aca="true">IF(OR(C94="",W94=1,N94="Won",N94="Lost"),"",IF(ISNUMBER(R94),IF(R94&lt;=TODAY(),R94+ROW()/100000,""),""))</f>
        <v/>
      </c>
      <c r="W94" s="42" t="n">
        <f aca="false">IF(OR(L94="Y",AND(G94&lt;&gt;"",COUNTIF('Do not contact'!$A$6:$A$505,G94)&gt;0)),1,0)</f>
        <v>0</v>
      </c>
    </row>
    <row r="95" customFormat="false" ht="27.75" hidden="false" customHeight="true" outlineLevel="0" collapsed="false">
      <c r="A95" s="38"/>
      <c r="B95" s="39"/>
      <c r="C95" s="38"/>
      <c r="D95" s="38"/>
      <c r="E95" s="38"/>
      <c r="F95" s="38"/>
      <c r="G95" s="38"/>
      <c r="H95" s="40"/>
      <c r="I95" s="38"/>
      <c r="J95" s="38"/>
      <c r="K95" s="38"/>
      <c r="L95" s="41"/>
      <c r="M95" s="42" t="str">
        <f aca="false">IF(C95="","",IF(W95=1,"NO – opted out. Do not email.",IF(I95="","Pick a contact type",IF(LEFT(I95,4)="Sole",IF(OR(LEFT(J95,7)="Consent",LEFT(J95,4)="Soft"),"Yes – add opt-out + privacy link",IF(LEFT(J95,8)="Contract","Reply about their enquiry only","NO – needs consent first (PECR)")),"Yes – add opt-out + privacy link"))))</f>
        <v/>
      </c>
      <c r="N95" s="38"/>
      <c r="O95" s="39"/>
      <c r="P95" s="38"/>
      <c r="Q95" s="39"/>
      <c r="R95" s="43" t="str">
        <f aca="false">IF(C95="","",IF(Q95&lt;&gt;"",Q95,IF(OR(W95=1,N95="Won",N95="Lost",N95="Parked"),"",IF(O95&lt;&gt;"",O95+Lists!$N$2,IF(B95&lt;&gt;"",B95+Lists!$N$2,"")))))</f>
        <v/>
      </c>
      <c r="S95" s="42" t="str">
        <f aca="true">IF(C95="","",IF(W95=1,"Grey – do not email",IF(N95="Won","Won",IF(OR(N95="Lost",N95="Parked"),"Closed",IF(R95="","Amber – add next action",IF(R95&lt;TODAY(),"Red – overdue",IF(R95=TODAY(),"Red – due today",IF(R95-TODAY()&lt;=Lists!$N$3,"Amber – due soon","Green – on track"))))))))</f>
        <v/>
      </c>
      <c r="T95" s="44"/>
      <c r="U95" s="38"/>
      <c r="V95" s="42" t="str">
        <f aca="true">IF(OR(C95="",W95=1,N95="Won",N95="Lost"),"",IF(ISNUMBER(R95),IF(R95&lt;=TODAY(),R95+ROW()/100000,""),""))</f>
        <v/>
      </c>
      <c r="W95" s="42" t="n">
        <f aca="false">IF(OR(L95="Y",AND(G95&lt;&gt;"",COUNTIF('Do not contact'!$A$6:$A$505,G95)&gt;0)),1,0)</f>
        <v>0</v>
      </c>
    </row>
    <row r="96" customFormat="false" ht="27.75" hidden="false" customHeight="true" outlineLevel="0" collapsed="false">
      <c r="A96" s="38"/>
      <c r="B96" s="39"/>
      <c r="C96" s="38"/>
      <c r="D96" s="38"/>
      <c r="E96" s="38"/>
      <c r="F96" s="38"/>
      <c r="G96" s="38"/>
      <c r="H96" s="40"/>
      <c r="I96" s="38"/>
      <c r="J96" s="38"/>
      <c r="K96" s="38"/>
      <c r="L96" s="41"/>
      <c r="M96" s="42" t="str">
        <f aca="false">IF(C96="","",IF(W96=1,"NO – opted out. Do not email.",IF(I96="","Pick a contact type",IF(LEFT(I96,4)="Sole",IF(OR(LEFT(J96,7)="Consent",LEFT(J96,4)="Soft"),"Yes – add opt-out + privacy link",IF(LEFT(J96,8)="Contract","Reply about their enquiry only","NO – needs consent first (PECR)")),"Yes – add opt-out + privacy link"))))</f>
        <v/>
      </c>
      <c r="N96" s="38"/>
      <c r="O96" s="39"/>
      <c r="P96" s="38"/>
      <c r="Q96" s="39"/>
      <c r="R96" s="43" t="str">
        <f aca="false">IF(C96="","",IF(Q96&lt;&gt;"",Q96,IF(OR(W96=1,N96="Won",N96="Lost",N96="Parked"),"",IF(O96&lt;&gt;"",O96+Lists!$N$2,IF(B96&lt;&gt;"",B96+Lists!$N$2,"")))))</f>
        <v/>
      </c>
      <c r="S96" s="42" t="str">
        <f aca="true">IF(C96="","",IF(W96=1,"Grey – do not email",IF(N96="Won","Won",IF(OR(N96="Lost",N96="Parked"),"Closed",IF(R96="","Amber – add next action",IF(R96&lt;TODAY(),"Red – overdue",IF(R96=TODAY(),"Red – due today",IF(R96-TODAY()&lt;=Lists!$N$3,"Amber – due soon","Green – on track"))))))))</f>
        <v/>
      </c>
      <c r="T96" s="44"/>
      <c r="U96" s="38"/>
      <c r="V96" s="42" t="str">
        <f aca="true">IF(OR(C96="",W96=1,N96="Won",N96="Lost"),"",IF(ISNUMBER(R96),IF(R96&lt;=TODAY(),R96+ROW()/100000,""),""))</f>
        <v/>
      </c>
      <c r="W96" s="42" t="n">
        <f aca="false">IF(OR(L96="Y",AND(G96&lt;&gt;"",COUNTIF('Do not contact'!$A$6:$A$505,G96)&gt;0)),1,0)</f>
        <v>0</v>
      </c>
    </row>
    <row r="97" customFormat="false" ht="27.75" hidden="false" customHeight="true" outlineLevel="0" collapsed="false">
      <c r="A97" s="38"/>
      <c r="B97" s="39"/>
      <c r="C97" s="38"/>
      <c r="D97" s="38"/>
      <c r="E97" s="38"/>
      <c r="F97" s="38"/>
      <c r="G97" s="38"/>
      <c r="H97" s="40"/>
      <c r="I97" s="38"/>
      <c r="J97" s="38"/>
      <c r="K97" s="38"/>
      <c r="L97" s="41"/>
      <c r="M97" s="42" t="str">
        <f aca="false">IF(C97="","",IF(W97=1,"NO – opted out. Do not email.",IF(I97="","Pick a contact type",IF(LEFT(I97,4)="Sole",IF(OR(LEFT(J97,7)="Consent",LEFT(J97,4)="Soft"),"Yes – add opt-out + privacy link",IF(LEFT(J97,8)="Contract","Reply about their enquiry only","NO – needs consent first (PECR)")),"Yes – add opt-out + privacy link"))))</f>
        <v/>
      </c>
      <c r="N97" s="38"/>
      <c r="O97" s="39"/>
      <c r="P97" s="38"/>
      <c r="Q97" s="39"/>
      <c r="R97" s="43" t="str">
        <f aca="false">IF(C97="","",IF(Q97&lt;&gt;"",Q97,IF(OR(W97=1,N97="Won",N97="Lost",N97="Parked"),"",IF(O97&lt;&gt;"",O97+Lists!$N$2,IF(B97&lt;&gt;"",B97+Lists!$N$2,"")))))</f>
        <v/>
      </c>
      <c r="S97" s="42" t="str">
        <f aca="true">IF(C97="","",IF(W97=1,"Grey – do not email",IF(N97="Won","Won",IF(OR(N97="Lost",N97="Parked"),"Closed",IF(R97="","Amber – add next action",IF(R97&lt;TODAY(),"Red – overdue",IF(R97=TODAY(),"Red – due today",IF(R97-TODAY()&lt;=Lists!$N$3,"Amber – due soon","Green – on track"))))))))</f>
        <v/>
      </c>
      <c r="T97" s="44"/>
      <c r="U97" s="38"/>
      <c r="V97" s="42" t="str">
        <f aca="true">IF(OR(C97="",W97=1,N97="Won",N97="Lost"),"",IF(ISNUMBER(R97),IF(R97&lt;=TODAY(),R97+ROW()/100000,""),""))</f>
        <v/>
      </c>
      <c r="W97" s="42" t="n">
        <f aca="false">IF(OR(L97="Y",AND(G97&lt;&gt;"",COUNTIF('Do not contact'!$A$6:$A$505,G97)&gt;0)),1,0)</f>
        <v>0</v>
      </c>
    </row>
    <row r="98" customFormat="false" ht="27.75" hidden="false" customHeight="true" outlineLevel="0" collapsed="false">
      <c r="A98" s="38"/>
      <c r="B98" s="39"/>
      <c r="C98" s="38"/>
      <c r="D98" s="38"/>
      <c r="E98" s="38"/>
      <c r="F98" s="38"/>
      <c r="G98" s="38"/>
      <c r="H98" s="40"/>
      <c r="I98" s="38"/>
      <c r="J98" s="38"/>
      <c r="K98" s="38"/>
      <c r="L98" s="41"/>
      <c r="M98" s="42" t="str">
        <f aca="false">IF(C98="","",IF(W98=1,"NO – opted out. Do not email.",IF(I98="","Pick a contact type",IF(LEFT(I98,4)="Sole",IF(OR(LEFT(J98,7)="Consent",LEFT(J98,4)="Soft"),"Yes – add opt-out + privacy link",IF(LEFT(J98,8)="Contract","Reply about their enquiry only","NO – needs consent first (PECR)")),"Yes – add opt-out + privacy link"))))</f>
        <v/>
      </c>
      <c r="N98" s="38"/>
      <c r="O98" s="39"/>
      <c r="P98" s="38"/>
      <c r="Q98" s="39"/>
      <c r="R98" s="43" t="str">
        <f aca="false">IF(C98="","",IF(Q98&lt;&gt;"",Q98,IF(OR(W98=1,N98="Won",N98="Lost",N98="Parked"),"",IF(O98&lt;&gt;"",O98+Lists!$N$2,IF(B98&lt;&gt;"",B98+Lists!$N$2,"")))))</f>
        <v/>
      </c>
      <c r="S98" s="42" t="str">
        <f aca="true">IF(C98="","",IF(W98=1,"Grey – do not email",IF(N98="Won","Won",IF(OR(N98="Lost",N98="Parked"),"Closed",IF(R98="","Amber – add next action",IF(R98&lt;TODAY(),"Red – overdue",IF(R98=TODAY(),"Red – due today",IF(R98-TODAY()&lt;=Lists!$N$3,"Amber – due soon","Green – on track"))))))))</f>
        <v/>
      </c>
      <c r="T98" s="44"/>
      <c r="U98" s="38"/>
      <c r="V98" s="42" t="str">
        <f aca="true">IF(OR(C98="",W98=1,N98="Won",N98="Lost"),"",IF(ISNUMBER(R98),IF(R98&lt;=TODAY(),R98+ROW()/100000,""),""))</f>
        <v/>
      </c>
      <c r="W98" s="42" t="n">
        <f aca="false">IF(OR(L98="Y",AND(G98&lt;&gt;"",COUNTIF('Do not contact'!$A$6:$A$505,G98)&gt;0)),1,0)</f>
        <v>0</v>
      </c>
    </row>
    <row r="99" customFormat="false" ht="27.75" hidden="false" customHeight="true" outlineLevel="0" collapsed="false">
      <c r="A99" s="38"/>
      <c r="B99" s="39"/>
      <c r="C99" s="38"/>
      <c r="D99" s="38"/>
      <c r="E99" s="38"/>
      <c r="F99" s="38"/>
      <c r="G99" s="38"/>
      <c r="H99" s="40"/>
      <c r="I99" s="38"/>
      <c r="J99" s="38"/>
      <c r="K99" s="38"/>
      <c r="L99" s="41"/>
      <c r="M99" s="42" t="str">
        <f aca="false">IF(C99="","",IF(W99=1,"NO – opted out. Do not email.",IF(I99="","Pick a contact type",IF(LEFT(I99,4)="Sole",IF(OR(LEFT(J99,7)="Consent",LEFT(J99,4)="Soft"),"Yes – add opt-out + privacy link",IF(LEFT(J99,8)="Contract","Reply about their enquiry only","NO – needs consent first (PECR)")),"Yes – add opt-out + privacy link"))))</f>
        <v/>
      </c>
      <c r="N99" s="38"/>
      <c r="O99" s="39"/>
      <c r="P99" s="38"/>
      <c r="Q99" s="39"/>
      <c r="R99" s="43" t="str">
        <f aca="false">IF(C99="","",IF(Q99&lt;&gt;"",Q99,IF(OR(W99=1,N99="Won",N99="Lost",N99="Parked"),"",IF(O99&lt;&gt;"",O99+Lists!$N$2,IF(B99&lt;&gt;"",B99+Lists!$N$2,"")))))</f>
        <v/>
      </c>
      <c r="S99" s="42" t="str">
        <f aca="true">IF(C99="","",IF(W99=1,"Grey – do not email",IF(N99="Won","Won",IF(OR(N99="Lost",N99="Parked"),"Closed",IF(R99="","Amber – add next action",IF(R99&lt;TODAY(),"Red – overdue",IF(R99=TODAY(),"Red – due today",IF(R99-TODAY()&lt;=Lists!$N$3,"Amber – due soon","Green – on track"))))))))</f>
        <v/>
      </c>
      <c r="T99" s="44"/>
      <c r="U99" s="38"/>
      <c r="V99" s="42" t="str">
        <f aca="true">IF(OR(C99="",W99=1,N99="Won",N99="Lost"),"",IF(ISNUMBER(R99),IF(R99&lt;=TODAY(),R99+ROW()/100000,""),""))</f>
        <v/>
      </c>
      <c r="W99" s="42" t="n">
        <f aca="false">IF(OR(L99="Y",AND(G99&lt;&gt;"",COUNTIF('Do not contact'!$A$6:$A$505,G99)&gt;0)),1,0)</f>
        <v>0</v>
      </c>
    </row>
    <row r="100" customFormat="false" ht="27.75" hidden="false" customHeight="true" outlineLevel="0" collapsed="false">
      <c r="A100" s="38"/>
      <c r="B100" s="39"/>
      <c r="C100" s="38"/>
      <c r="D100" s="38"/>
      <c r="E100" s="38"/>
      <c r="F100" s="38"/>
      <c r="G100" s="38"/>
      <c r="H100" s="40"/>
      <c r="I100" s="38"/>
      <c r="J100" s="38"/>
      <c r="K100" s="38"/>
      <c r="L100" s="41"/>
      <c r="M100" s="42" t="str">
        <f aca="false">IF(C100="","",IF(W100=1,"NO – opted out. Do not email.",IF(I100="","Pick a contact type",IF(LEFT(I100,4)="Sole",IF(OR(LEFT(J100,7)="Consent",LEFT(J100,4)="Soft"),"Yes – add opt-out + privacy link",IF(LEFT(J100,8)="Contract","Reply about their enquiry only","NO – needs consent first (PECR)")),"Yes – add opt-out + privacy link"))))</f>
        <v/>
      </c>
      <c r="N100" s="38"/>
      <c r="O100" s="39"/>
      <c r="P100" s="38"/>
      <c r="Q100" s="39"/>
      <c r="R100" s="43" t="str">
        <f aca="false">IF(C100="","",IF(Q100&lt;&gt;"",Q100,IF(OR(W100=1,N100="Won",N100="Lost",N100="Parked"),"",IF(O100&lt;&gt;"",O100+Lists!$N$2,IF(B100&lt;&gt;"",B100+Lists!$N$2,"")))))</f>
        <v/>
      </c>
      <c r="S100" s="42" t="str">
        <f aca="true">IF(C100="","",IF(W100=1,"Grey – do not email",IF(N100="Won","Won",IF(OR(N100="Lost",N100="Parked"),"Closed",IF(R100="","Amber – add next action",IF(R100&lt;TODAY(),"Red – overdue",IF(R100=TODAY(),"Red – due today",IF(R100-TODAY()&lt;=Lists!$N$3,"Amber – due soon","Green – on track"))))))))</f>
        <v/>
      </c>
      <c r="T100" s="44"/>
      <c r="U100" s="38"/>
      <c r="V100" s="42" t="str">
        <f aca="true">IF(OR(C100="",W100=1,N100="Won",N100="Lost"),"",IF(ISNUMBER(R100),IF(R100&lt;=TODAY(),R100+ROW()/100000,""),""))</f>
        <v/>
      </c>
      <c r="W100" s="42" t="n">
        <f aca="false">IF(OR(L100="Y",AND(G100&lt;&gt;"",COUNTIF('Do not contact'!$A$6:$A$505,G100)&gt;0)),1,0)</f>
        <v>0</v>
      </c>
    </row>
    <row r="101" customFormat="false" ht="27.75" hidden="false" customHeight="true" outlineLevel="0" collapsed="false">
      <c r="A101" s="38"/>
      <c r="B101" s="39"/>
      <c r="C101" s="38"/>
      <c r="D101" s="38"/>
      <c r="E101" s="38"/>
      <c r="F101" s="38"/>
      <c r="G101" s="38"/>
      <c r="H101" s="40"/>
      <c r="I101" s="38"/>
      <c r="J101" s="38"/>
      <c r="K101" s="38"/>
      <c r="L101" s="41"/>
      <c r="M101" s="42" t="str">
        <f aca="false">IF(C101="","",IF(W101=1,"NO – opted out. Do not email.",IF(I101="","Pick a contact type",IF(LEFT(I101,4)="Sole",IF(OR(LEFT(J101,7)="Consent",LEFT(J101,4)="Soft"),"Yes – add opt-out + privacy link",IF(LEFT(J101,8)="Contract","Reply about their enquiry only","NO – needs consent first (PECR)")),"Yes – add opt-out + privacy link"))))</f>
        <v/>
      </c>
      <c r="N101" s="38"/>
      <c r="O101" s="39"/>
      <c r="P101" s="38"/>
      <c r="Q101" s="39"/>
      <c r="R101" s="43" t="str">
        <f aca="false">IF(C101="","",IF(Q101&lt;&gt;"",Q101,IF(OR(W101=1,N101="Won",N101="Lost",N101="Parked"),"",IF(O101&lt;&gt;"",O101+Lists!$N$2,IF(B101&lt;&gt;"",B101+Lists!$N$2,"")))))</f>
        <v/>
      </c>
      <c r="S101" s="42" t="str">
        <f aca="true">IF(C101="","",IF(W101=1,"Grey – do not email",IF(N101="Won","Won",IF(OR(N101="Lost",N101="Parked"),"Closed",IF(R101="","Amber – add next action",IF(R101&lt;TODAY(),"Red – overdue",IF(R101=TODAY(),"Red – due today",IF(R101-TODAY()&lt;=Lists!$N$3,"Amber – due soon","Green – on track"))))))))</f>
        <v/>
      </c>
      <c r="T101" s="44"/>
      <c r="U101" s="38"/>
      <c r="V101" s="42" t="str">
        <f aca="true">IF(OR(C101="",W101=1,N101="Won",N101="Lost"),"",IF(ISNUMBER(R101),IF(R101&lt;=TODAY(),R101+ROW()/100000,""),""))</f>
        <v/>
      </c>
      <c r="W101" s="42" t="n">
        <f aca="false">IF(OR(L101="Y",AND(G101&lt;&gt;"",COUNTIF('Do not contact'!$A$6:$A$505,G101)&gt;0)),1,0)</f>
        <v>0</v>
      </c>
    </row>
    <row r="102" customFormat="false" ht="27.75" hidden="false" customHeight="true" outlineLevel="0" collapsed="false">
      <c r="A102" s="38"/>
      <c r="B102" s="39"/>
      <c r="C102" s="38"/>
      <c r="D102" s="38"/>
      <c r="E102" s="38"/>
      <c r="F102" s="38"/>
      <c r="G102" s="38"/>
      <c r="H102" s="40"/>
      <c r="I102" s="38"/>
      <c r="J102" s="38"/>
      <c r="K102" s="38"/>
      <c r="L102" s="41"/>
      <c r="M102" s="42" t="str">
        <f aca="false">IF(C102="","",IF(W102=1,"NO – opted out. Do not email.",IF(I102="","Pick a contact type",IF(LEFT(I102,4)="Sole",IF(OR(LEFT(J102,7)="Consent",LEFT(J102,4)="Soft"),"Yes – add opt-out + privacy link",IF(LEFT(J102,8)="Contract","Reply about their enquiry only","NO – needs consent first (PECR)")),"Yes – add opt-out + privacy link"))))</f>
        <v/>
      </c>
      <c r="N102" s="38"/>
      <c r="O102" s="39"/>
      <c r="P102" s="38"/>
      <c r="Q102" s="39"/>
      <c r="R102" s="43" t="str">
        <f aca="false">IF(C102="","",IF(Q102&lt;&gt;"",Q102,IF(OR(W102=1,N102="Won",N102="Lost",N102="Parked"),"",IF(O102&lt;&gt;"",O102+Lists!$N$2,IF(B102&lt;&gt;"",B102+Lists!$N$2,"")))))</f>
        <v/>
      </c>
      <c r="S102" s="42" t="str">
        <f aca="true">IF(C102="","",IF(W102=1,"Grey – do not email",IF(N102="Won","Won",IF(OR(N102="Lost",N102="Parked"),"Closed",IF(R102="","Amber – add next action",IF(R102&lt;TODAY(),"Red – overdue",IF(R102=TODAY(),"Red – due today",IF(R102-TODAY()&lt;=Lists!$N$3,"Amber – due soon","Green – on track"))))))))</f>
        <v/>
      </c>
      <c r="T102" s="44"/>
      <c r="U102" s="38"/>
      <c r="V102" s="42" t="str">
        <f aca="true">IF(OR(C102="",W102=1,N102="Won",N102="Lost"),"",IF(ISNUMBER(R102),IF(R102&lt;=TODAY(),R102+ROW()/100000,""),""))</f>
        <v/>
      </c>
      <c r="W102" s="42" t="n">
        <f aca="false">IF(OR(L102="Y",AND(G102&lt;&gt;"",COUNTIF('Do not contact'!$A$6:$A$505,G102)&gt;0)),1,0)</f>
        <v>0</v>
      </c>
    </row>
    <row r="103" customFormat="false" ht="27.75" hidden="false" customHeight="true" outlineLevel="0" collapsed="false">
      <c r="A103" s="38"/>
      <c r="B103" s="39"/>
      <c r="C103" s="38"/>
      <c r="D103" s="38"/>
      <c r="E103" s="38"/>
      <c r="F103" s="38"/>
      <c r="G103" s="38"/>
      <c r="H103" s="40"/>
      <c r="I103" s="38"/>
      <c r="J103" s="38"/>
      <c r="K103" s="38"/>
      <c r="L103" s="41"/>
      <c r="M103" s="42" t="str">
        <f aca="false">IF(C103="","",IF(W103=1,"NO – opted out. Do not email.",IF(I103="","Pick a contact type",IF(LEFT(I103,4)="Sole",IF(OR(LEFT(J103,7)="Consent",LEFT(J103,4)="Soft"),"Yes – add opt-out + privacy link",IF(LEFT(J103,8)="Contract","Reply about their enquiry only","NO – needs consent first (PECR)")),"Yes – add opt-out + privacy link"))))</f>
        <v/>
      </c>
      <c r="N103" s="38"/>
      <c r="O103" s="39"/>
      <c r="P103" s="38"/>
      <c r="Q103" s="39"/>
      <c r="R103" s="43" t="str">
        <f aca="false">IF(C103="","",IF(Q103&lt;&gt;"",Q103,IF(OR(W103=1,N103="Won",N103="Lost",N103="Parked"),"",IF(O103&lt;&gt;"",O103+Lists!$N$2,IF(B103&lt;&gt;"",B103+Lists!$N$2,"")))))</f>
        <v/>
      </c>
      <c r="S103" s="42" t="str">
        <f aca="true">IF(C103="","",IF(W103=1,"Grey – do not email",IF(N103="Won","Won",IF(OR(N103="Lost",N103="Parked"),"Closed",IF(R103="","Amber – add next action",IF(R103&lt;TODAY(),"Red – overdue",IF(R103=TODAY(),"Red – due today",IF(R103-TODAY()&lt;=Lists!$N$3,"Amber – due soon","Green – on track"))))))))</f>
        <v/>
      </c>
      <c r="T103" s="44"/>
      <c r="U103" s="38"/>
      <c r="V103" s="42" t="str">
        <f aca="true">IF(OR(C103="",W103=1,N103="Won",N103="Lost"),"",IF(ISNUMBER(R103),IF(R103&lt;=TODAY(),R103+ROW()/100000,""),""))</f>
        <v/>
      </c>
      <c r="W103" s="42" t="n">
        <f aca="false">IF(OR(L103="Y",AND(G103&lt;&gt;"",COUNTIF('Do not contact'!$A$6:$A$505,G103)&gt;0)),1,0)</f>
        <v>0</v>
      </c>
    </row>
    <row r="104" customFormat="false" ht="27.75" hidden="false" customHeight="true" outlineLevel="0" collapsed="false">
      <c r="A104" s="38"/>
      <c r="B104" s="39"/>
      <c r="C104" s="38"/>
      <c r="D104" s="38"/>
      <c r="E104" s="38"/>
      <c r="F104" s="38"/>
      <c r="G104" s="38"/>
      <c r="H104" s="40"/>
      <c r="I104" s="38"/>
      <c r="J104" s="38"/>
      <c r="K104" s="38"/>
      <c r="L104" s="41"/>
      <c r="M104" s="42" t="str">
        <f aca="false">IF(C104="","",IF(W104=1,"NO – opted out. Do not email.",IF(I104="","Pick a contact type",IF(LEFT(I104,4)="Sole",IF(OR(LEFT(J104,7)="Consent",LEFT(J104,4)="Soft"),"Yes – add opt-out + privacy link",IF(LEFT(J104,8)="Contract","Reply about their enquiry only","NO – needs consent first (PECR)")),"Yes – add opt-out + privacy link"))))</f>
        <v/>
      </c>
      <c r="N104" s="38"/>
      <c r="O104" s="39"/>
      <c r="P104" s="38"/>
      <c r="Q104" s="39"/>
      <c r="R104" s="43" t="str">
        <f aca="false">IF(C104="","",IF(Q104&lt;&gt;"",Q104,IF(OR(W104=1,N104="Won",N104="Lost",N104="Parked"),"",IF(O104&lt;&gt;"",O104+Lists!$N$2,IF(B104&lt;&gt;"",B104+Lists!$N$2,"")))))</f>
        <v/>
      </c>
      <c r="S104" s="42" t="str">
        <f aca="true">IF(C104="","",IF(W104=1,"Grey – do not email",IF(N104="Won","Won",IF(OR(N104="Lost",N104="Parked"),"Closed",IF(R104="","Amber – add next action",IF(R104&lt;TODAY(),"Red – overdue",IF(R104=TODAY(),"Red – due today",IF(R104-TODAY()&lt;=Lists!$N$3,"Amber – due soon","Green – on track"))))))))</f>
        <v/>
      </c>
      <c r="T104" s="44"/>
      <c r="U104" s="38"/>
      <c r="V104" s="42" t="str">
        <f aca="true">IF(OR(C104="",W104=1,N104="Won",N104="Lost"),"",IF(ISNUMBER(R104),IF(R104&lt;=TODAY(),R104+ROW()/100000,""),""))</f>
        <v/>
      </c>
      <c r="W104" s="42" t="n">
        <f aca="false">IF(OR(L104="Y",AND(G104&lt;&gt;"",COUNTIF('Do not contact'!$A$6:$A$505,G104)&gt;0)),1,0)</f>
        <v>0</v>
      </c>
    </row>
    <row r="105" customFormat="false" ht="27.75" hidden="false" customHeight="true" outlineLevel="0" collapsed="false">
      <c r="A105" s="38"/>
      <c r="B105" s="39"/>
      <c r="C105" s="38"/>
      <c r="D105" s="38"/>
      <c r="E105" s="38"/>
      <c r="F105" s="38"/>
      <c r="G105" s="38"/>
      <c r="H105" s="40"/>
      <c r="I105" s="38"/>
      <c r="J105" s="38"/>
      <c r="K105" s="38"/>
      <c r="L105" s="41"/>
      <c r="M105" s="42" t="str">
        <f aca="false">IF(C105="","",IF(W105=1,"NO – opted out. Do not email.",IF(I105="","Pick a contact type",IF(LEFT(I105,4)="Sole",IF(OR(LEFT(J105,7)="Consent",LEFT(J105,4)="Soft"),"Yes – add opt-out + privacy link",IF(LEFT(J105,8)="Contract","Reply about their enquiry only","NO – needs consent first (PECR)")),"Yes – add opt-out + privacy link"))))</f>
        <v/>
      </c>
      <c r="N105" s="38"/>
      <c r="O105" s="39"/>
      <c r="P105" s="38"/>
      <c r="Q105" s="39"/>
      <c r="R105" s="43" t="str">
        <f aca="false">IF(C105="","",IF(Q105&lt;&gt;"",Q105,IF(OR(W105=1,N105="Won",N105="Lost",N105="Parked"),"",IF(O105&lt;&gt;"",O105+Lists!$N$2,IF(B105&lt;&gt;"",B105+Lists!$N$2,"")))))</f>
        <v/>
      </c>
      <c r="S105" s="42" t="str">
        <f aca="true">IF(C105="","",IF(W105=1,"Grey – do not email",IF(N105="Won","Won",IF(OR(N105="Lost",N105="Parked"),"Closed",IF(R105="","Amber – add next action",IF(R105&lt;TODAY(),"Red – overdue",IF(R105=TODAY(),"Red – due today",IF(R105-TODAY()&lt;=Lists!$N$3,"Amber – due soon","Green – on track"))))))))</f>
        <v/>
      </c>
      <c r="T105" s="44"/>
      <c r="U105" s="38"/>
      <c r="V105" s="42" t="str">
        <f aca="true">IF(OR(C105="",W105=1,N105="Won",N105="Lost"),"",IF(ISNUMBER(R105),IF(R105&lt;=TODAY(),R105+ROW()/100000,""),""))</f>
        <v/>
      </c>
      <c r="W105" s="42" t="n">
        <f aca="false">IF(OR(L105="Y",AND(G105&lt;&gt;"",COUNTIF('Do not contact'!$A$6:$A$505,G105)&gt;0)),1,0)</f>
        <v>0</v>
      </c>
    </row>
    <row r="106" customFormat="false" ht="27.75" hidden="false" customHeight="true" outlineLevel="0" collapsed="false">
      <c r="A106" s="38"/>
      <c r="B106" s="39"/>
      <c r="C106" s="38"/>
      <c r="D106" s="38"/>
      <c r="E106" s="38"/>
      <c r="F106" s="38"/>
      <c r="G106" s="38"/>
      <c r="H106" s="40"/>
      <c r="I106" s="38"/>
      <c r="J106" s="38"/>
      <c r="K106" s="38"/>
      <c r="L106" s="41"/>
      <c r="M106" s="42" t="str">
        <f aca="false">IF(C106="","",IF(W106=1,"NO – opted out. Do not email.",IF(I106="","Pick a contact type",IF(LEFT(I106,4)="Sole",IF(OR(LEFT(J106,7)="Consent",LEFT(J106,4)="Soft"),"Yes – add opt-out + privacy link",IF(LEFT(J106,8)="Contract","Reply about their enquiry only","NO – needs consent first (PECR)")),"Yes – add opt-out + privacy link"))))</f>
        <v/>
      </c>
      <c r="N106" s="38"/>
      <c r="O106" s="39"/>
      <c r="P106" s="38"/>
      <c r="Q106" s="39"/>
      <c r="R106" s="43" t="str">
        <f aca="false">IF(C106="","",IF(Q106&lt;&gt;"",Q106,IF(OR(W106=1,N106="Won",N106="Lost",N106="Parked"),"",IF(O106&lt;&gt;"",O106+Lists!$N$2,IF(B106&lt;&gt;"",B106+Lists!$N$2,"")))))</f>
        <v/>
      </c>
      <c r="S106" s="42" t="str">
        <f aca="true">IF(C106="","",IF(W106=1,"Grey – do not email",IF(N106="Won","Won",IF(OR(N106="Lost",N106="Parked"),"Closed",IF(R106="","Amber – add next action",IF(R106&lt;TODAY(),"Red – overdue",IF(R106=TODAY(),"Red – due today",IF(R106-TODAY()&lt;=Lists!$N$3,"Amber – due soon","Green – on track"))))))))</f>
        <v/>
      </c>
      <c r="T106" s="44"/>
      <c r="U106" s="38"/>
      <c r="V106" s="42" t="str">
        <f aca="true">IF(OR(C106="",W106=1,N106="Won",N106="Lost"),"",IF(ISNUMBER(R106),IF(R106&lt;=TODAY(),R106+ROW()/100000,""),""))</f>
        <v/>
      </c>
      <c r="W106" s="42" t="n">
        <f aca="false">IF(OR(L106="Y",AND(G106&lt;&gt;"",COUNTIF('Do not contact'!$A$6:$A$505,G106)&gt;0)),1,0)</f>
        <v>0</v>
      </c>
    </row>
    <row r="107" customFormat="false" ht="27.75" hidden="false" customHeight="true" outlineLevel="0" collapsed="false">
      <c r="A107" s="38"/>
      <c r="B107" s="39"/>
      <c r="C107" s="38"/>
      <c r="D107" s="38"/>
      <c r="E107" s="38"/>
      <c r="F107" s="38"/>
      <c r="G107" s="38"/>
      <c r="H107" s="40"/>
      <c r="I107" s="38"/>
      <c r="J107" s="38"/>
      <c r="K107" s="38"/>
      <c r="L107" s="41"/>
      <c r="M107" s="42" t="str">
        <f aca="false">IF(C107="","",IF(W107=1,"NO – opted out. Do not email.",IF(I107="","Pick a contact type",IF(LEFT(I107,4)="Sole",IF(OR(LEFT(J107,7)="Consent",LEFT(J107,4)="Soft"),"Yes – add opt-out + privacy link",IF(LEFT(J107,8)="Contract","Reply about their enquiry only","NO – needs consent first (PECR)")),"Yes – add opt-out + privacy link"))))</f>
        <v/>
      </c>
      <c r="N107" s="38"/>
      <c r="O107" s="39"/>
      <c r="P107" s="38"/>
      <c r="Q107" s="39"/>
      <c r="R107" s="43" t="str">
        <f aca="false">IF(C107="","",IF(Q107&lt;&gt;"",Q107,IF(OR(W107=1,N107="Won",N107="Lost",N107="Parked"),"",IF(O107&lt;&gt;"",O107+Lists!$N$2,IF(B107&lt;&gt;"",B107+Lists!$N$2,"")))))</f>
        <v/>
      </c>
      <c r="S107" s="42" t="str">
        <f aca="true">IF(C107="","",IF(W107=1,"Grey – do not email",IF(N107="Won","Won",IF(OR(N107="Lost",N107="Parked"),"Closed",IF(R107="","Amber – add next action",IF(R107&lt;TODAY(),"Red – overdue",IF(R107=TODAY(),"Red – due today",IF(R107-TODAY()&lt;=Lists!$N$3,"Amber – due soon","Green – on track"))))))))</f>
        <v/>
      </c>
      <c r="T107" s="44"/>
      <c r="U107" s="38"/>
      <c r="V107" s="42" t="str">
        <f aca="true">IF(OR(C107="",W107=1,N107="Won",N107="Lost"),"",IF(ISNUMBER(R107),IF(R107&lt;=TODAY(),R107+ROW()/100000,""),""))</f>
        <v/>
      </c>
      <c r="W107" s="42" t="n">
        <f aca="false">IF(OR(L107="Y",AND(G107&lt;&gt;"",COUNTIF('Do not contact'!$A$6:$A$505,G107)&gt;0)),1,0)</f>
        <v>0</v>
      </c>
    </row>
    <row r="108" customFormat="false" ht="27.75" hidden="false" customHeight="true" outlineLevel="0" collapsed="false">
      <c r="A108" s="38"/>
      <c r="B108" s="39"/>
      <c r="C108" s="38"/>
      <c r="D108" s="38"/>
      <c r="E108" s="38"/>
      <c r="F108" s="38"/>
      <c r="G108" s="38"/>
      <c r="H108" s="40"/>
      <c r="I108" s="38"/>
      <c r="J108" s="38"/>
      <c r="K108" s="38"/>
      <c r="L108" s="41"/>
      <c r="M108" s="42" t="str">
        <f aca="false">IF(C108="","",IF(W108=1,"NO – opted out. Do not email.",IF(I108="","Pick a contact type",IF(LEFT(I108,4)="Sole",IF(OR(LEFT(J108,7)="Consent",LEFT(J108,4)="Soft"),"Yes – add opt-out + privacy link",IF(LEFT(J108,8)="Contract","Reply about their enquiry only","NO – needs consent first (PECR)")),"Yes – add opt-out + privacy link"))))</f>
        <v/>
      </c>
      <c r="N108" s="38"/>
      <c r="O108" s="39"/>
      <c r="P108" s="38"/>
      <c r="Q108" s="39"/>
      <c r="R108" s="43" t="str">
        <f aca="false">IF(C108="","",IF(Q108&lt;&gt;"",Q108,IF(OR(W108=1,N108="Won",N108="Lost",N108="Parked"),"",IF(O108&lt;&gt;"",O108+Lists!$N$2,IF(B108&lt;&gt;"",B108+Lists!$N$2,"")))))</f>
        <v/>
      </c>
      <c r="S108" s="42" t="str">
        <f aca="true">IF(C108="","",IF(W108=1,"Grey – do not email",IF(N108="Won","Won",IF(OR(N108="Lost",N108="Parked"),"Closed",IF(R108="","Amber – add next action",IF(R108&lt;TODAY(),"Red – overdue",IF(R108=TODAY(),"Red – due today",IF(R108-TODAY()&lt;=Lists!$N$3,"Amber – due soon","Green – on track"))))))))</f>
        <v/>
      </c>
      <c r="T108" s="44"/>
      <c r="U108" s="38"/>
      <c r="V108" s="42" t="str">
        <f aca="true">IF(OR(C108="",W108=1,N108="Won",N108="Lost"),"",IF(ISNUMBER(R108),IF(R108&lt;=TODAY(),R108+ROW()/100000,""),""))</f>
        <v/>
      </c>
      <c r="W108" s="42" t="n">
        <f aca="false">IF(OR(L108="Y",AND(G108&lt;&gt;"",COUNTIF('Do not contact'!$A$6:$A$505,G108)&gt;0)),1,0)</f>
        <v>0</v>
      </c>
    </row>
    <row r="109" customFormat="false" ht="27.75" hidden="false" customHeight="true" outlineLevel="0" collapsed="false">
      <c r="A109" s="38"/>
      <c r="B109" s="39"/>
      <c r="C109" s="38"/>
      <c r="D109" s="38"/>
      <c r="E109" s="38"/>
      <c r="F109" s="38"/>
      <c r="G109" s="38"/>
      <c r="H109" s="40"/>
      <c r="I109" s="38"/>
      <c r="J109" s="38"/>
      <c r="K109" s="38"/>
      <c r="L109" s="41"/>
      <c r="M109" s="42" t="str">
        <f aca="false">IF(C109="","",IF(W109=1,"NO – opted out. Do not email.",IF(I109="","Pick a contact type",IF(LEFT(I109,4)="Sole",IF(OR(LEFT(J109,7)="Consent",LEFT(J109,4)="Soft"),"Yes – add opt-out + privacy link",IF(LEFT(J109,8)="Contract","Reply about their enquiry only","NO – needs consent first (PECR)")),"Yes – add opt-out + privacy link"))))</f>
        <v/>
      </c>
      <c r="N109" s="38"/>
      <c r="O109" s="39"/>
      <c r="P109" s="38"/>
      <c r="Q109" s="39"/>
      <c r="R109" s="43" t="str">
        <f aca="false">IF(C109="","",IF(Q109&lt;&gt;"",Q109,IF(OR(W109=1,N109="Won",N109="Lost",N109="Parked"),"",IF(O109&lt;&gt;"",O109+Lists!$N$2,IF(B109&lt;&gt;"",B109+Lists!$N$2,"")))))</f>
        <v/>
      </c>
      <c r="S109" s="42" t="str">
        <f aca="true">IF(C109="","",IF(W109=1,"Grey – do not email",IF(N109="Won","Won",IF(OR(N109="Lost",N109="Parked"),"Closed",IF(R109="","Amber – add next action",IF(R109&lt;TODAY(),"Red – overdue",IF(R109=TODAY(),"Red – due today",IF(R109-TODAY()&lt;=Lists!$N$3,"Amber – due soon","Green – on track"))))))))</f>
        <v/>
      </c>
      <c r="T109" s="44"/>
      <c r="U109" s="38"/>
      <c r="V109" s="42" t="str">
        <f aca="true">IF(OR(C109="",W109=1,N109="Won",N109="Lost"),"",IF(ISNUMBER(R109),IF(R109&lt;=TODAY(),R109+ROW()/100000,""),""))</f>
        <v/>
      </c>
      <c r="W109" s="42" t="n">
        <f aca="false">IF(OR(L109="Y",AND(G109&lt;&gt;"",COUNTIF('Do not contact'!$A$6:$A$505,G109)&gt;0)),1,0)</f>
        <v>0</v>
      </c>
    </row>
    <row r="110" customFormat="false" ht="27.75" hidden="false" customHeight="true" outlineLevel="0" collapsed="false">
      <c r="A110" s="38"/>
      <c r="B110" s="39"/>
      <c r="C110" s="38"/>
      <c r="D110" s="38"/>
      <c r="E110" s="38"/>
      <c r="F110" s="38"/>
      <c r="G110" s="38"/>
      <c r="H110" s="40"/>
      <c r="I110" s="38"/>
      <c r="J110" s="38"/>
      <c r="K110" s="38"/>
      <c r="L110" s="41"/>
      <c r="M110" s="42" t="str">
        <f aca="false">IF(C110="","",IF(W110=1,"NO – opted out. Do not email.",IF(I110="","Pick a contact type",IF(LEFT(I110,4)="Sole",IF(OR(LEFT(J110,7)="Consent",LEFT(J110,4)="Soft"),"Yes – add opt-out + privacy link",IF(LEFT(J110,8)="Contract","Reply about their enquiry only","NO – needs consent first (PECR)")),"Yes – add opt-out + privacy link"))))</f>
        <v/>
      </c>
      <c r="N110" s="38"/>
      <c r="O110" s="39"/>
      <c r="P110" s="38"/>
      <c r="Q110" s="39"/>
      <c r="R110" s="43" t="str">
        <f aca="false">IF(C110="","",IF(Q110&lt;&gt;"",Q110,IF(OR(W110=1,N110="Won",N110="Lost",N110="Parked"),"",IF(O110&lt;&gt;"",O110+Lists!$N$2,IF(B110&lt;&gt;"",B110+Lists!$N$2,"")))))</f>
        <v/>
      </c>
      <c r="S110" s="42" t="str">
        <f aca="true">IF(C110="","",IF(W110=1,"Grey – do not email",IF(N110="Won","Won",IF(OR(N110="Lost",N110="Parked"),"Closed",IF(R110="","Amber – add next action",IF(R110&lt;TODAY(),"Red – overdue",IF(R110=TODAY(),"Red – due today",IF(R110-TODAY()&lt;=Lists!$N$3,"Amber – due soon","Green – on track"))))))))</f>
        <v/>
      </c>
      <c r="T110" s="44"/>
      <c r="U110" s="38"/>
      <c r="V110" s="42" t="str">
        <f aca="true">IF(OR(C110="",W110=1,N110="Won",N110="Lost"),"",IF(ISNUMBER(R110),IF(R110&lt;=TODAY(),R110+ROW()/100000,""),""))</f>
        <v/>
      </c>
      <c r="W110" s="42" t="n">
        <f aca="false">IF(OR(L110="Y",AND(G110&lt;&gt;"",COUNTIF('Do not contact'!$A$6:$A$505,G110)&gt;0)),1,0)</f>
        <v>0</v>
      </c>
    </row>
    <row r="111" customFormat="false" ht="27.75" hidden="false" customHeight="true" outlineLevel="0" collapsed="false">
      <c r="A111" s="38"/>
      <c r="B111" s="39"/>
      <c r="C111" s="38"/>
      <c r="D111" s="38"/>
      <c r="E111" s="38"/>
      <c r="F111" s="38"/>
      <c r="G111" s="38"/>
      <c r="H111" s="40"/>
      <c r="I111" s="38"/>
      <c r="J111" s="38"/>
      <c r="K111" s="38"/>
      <c r="L111" s="41"/>
      <c r="M111" s="42" t="str">
        <f aca="false">IF(C111="","",IF(W111=1,"NO – opted out. Do not email.",IF(I111="","Pick a contact type",IF(LEFT(I111,4)="Sole",IF(OR(LEFT(J111,7)="Consent",LEFT(J111,4)="Soft"),"Yes – add opt-out + privacy link",IF(LEFT(J111,8)="Contract","Reply about their enquiry only","NO – needs consent first (PECR)")),"Yes – add opt-out + privacy link"))))</f>
        <v/>
      </c>
      <c r="N111" s="38"/>
      <c r="O111" s="39"/>
      <c r="P111" s="38"/>
      <c r="Q111" s="39"/>
      <c r="R111" s="43" t="str">
        <f aca="false">IF(C111="","",IF(Q111&lt;&gt;"",Q111,IF(OR(W111=1,N111="Won",N111="Lost",N111="Parked"),"",IF(O111&lt;&gt;"",O111+Lists!$N$2,IF(B111&lt;&gt;"",B111+Lists!$N$2,"")))))</f>
        <v/>
      </c>
      <c r="S111" s="42" t="str">
        <f aca="true">IF(C111="","",IF(W111=1,"Grey – do not email",IF(N111="Won","Won",IF(OR(N111="Lost",N111="Parked"),"Closed",IF(R111="","Amber – add next action",IF(R111&lt;TODAY(),"Red – overdue",IF(R111=TODAY(),"Red – due today",IF(R111-TODAY()&lt;=Lists!$N$3,"Amber – due soon","Green – on track"))))))))</f>
        <v/>
      </c>
      <c r="T111" s="44"/>
      <c r="U111" s="38"/>
      <c r="V111" s="42" t="str">
        <f aca="true">IF(OR(C111="",W111=1,N111="Won",N111="Lost"),"",IF(ISNUMBER(R111),IF(R111&lt;=TODAY(),R111+ROW()/100000,""),""))</f>
        <v/>
      </c>
      <c r="W111" s="42" t="n">
        <f aca="false">IF(OR(L111="Y",AND(G111&lt;&gt;"",COUNTIF('Do not contact'!$A$6:$A$505,G111)&gt;0)),1,0)</f>
        <v>0</v>
      </c>
    </row>
    <row r="112" customFormat="false" ht="27.75" hidden="false" customHeight="true" outlineLevel="0" collapsed="false">
      <c r="A112" s="38"/>
      <c r="B112" s="39"/>
      <c r="C112" s="38"/>
      <c r="D112" s="38"/>
      <c r="E112" s="38"/>
      <c r="F112" s="38"/>
      <c r="G112" s="38"/>
      <c r="H112" s="40"/>
      <c r="I112" s="38"/>
      <c r="J112" s="38"/>
      <c r="K112" s="38"/>
      <c r="L112" s="41"/>
      <c r="M112" s="42" t="str">
        <f aca="false">IF(C112="","",IF(W112=1,"NO – opted out. Do not email.",IF(I112="","Pick a contact type",IF(LEFT(I112,4)="Sole",IF(OR(LEFT(J112,7)="Consent",LEFT(J112,4)="Soft"),"Yes – add opt-out + privacy link",IF(LEFT(J112,8)="Contract","Reply about their enquiry only","NO – needs consent first (PECR)")),"Yes – add opt-out + privacy link"))))</f>
        <v/>
      </c>
      <c r="N112" s="38"/>
      <c r="O112" s="39"/>
      <c r="P112" s="38"/>
      <c r="Q112" s="39"/>
      <c r="R112" s="43" t="str">
        <f aca="false">IF(C112="","",IF(Q112&lt;&gt;"",Q112,IF(OR(W112=1,N112="Won",N112="Lost",N112="Parked"),"",IF(O112&lt;&gt;"",O112+Lists!$N$2,IF(B112&lt;&gt;"",B112+Lists!$N$2,"")))))</f>
        <v/>
      </c>
      <c r="S112" s="42" t="str">
        <f aca="true">IF(C112="","",IF(W112=1,"Grey – do not email",IF(N112="Won","Won",IF(OR(N112="Lost",N112="Parked"),"Closed",IF(R112="","Amber – add next action",IF(R112&lt;TODAY(),"Red – overdue",IF(R112=TODAY(),"Red – due today",IF(R112-TODAY()&lt;=Lists!$N$3,"Amber – due soon","Green – on track"))))))))</f>
        <v/>
      </c>
      <c r="T112" s="44"/>
      <c r="U112" s="38"/>
      <c r="V112" s="42" t="str">
        <f aca="true">IF(OR(C112="",W112=1,N112="Won",N112="Lost"),"",IF(ISNUMBER(R112),IF(R112&lt;=TODAY(),R112+ROW()/100000,""),""))</f>
        <v/>
      </c>
      <c r="W112" s="42" t="n">
        <f aca="false">IF(OR(L112="Y",AND(G112&lt;&gt;"",COUNTIF('Do not contact'!$A$6:$A$505,G112)&gt;0)),1,0)</f>
        <v>0</v>
      </c>
    </row>
    <row r="113" customFormat="false" ht="27.75" hidden="false" customHeight="true" outlineLevel="0" collapsed="false">
      <c r="A113" s="38"/>
      <c r="B113" s="39"/>
      <c r="C113" s="38"/>
      <c r="D113" s="38"/>
      <c r="E113" s="38"/>
      <c r="F113" s="38"/>
      <c r="G113" s="38"/>
      <c r="H113" s="40"/>
      <c r="I113" s="38"/>
      <c r="J113" s="38"/>
      <c r="K113" s="38"/>
      <c r="L113" s="41"/>
      <c r="M113" s="42" t="str">
        <f aca="false">IF(C113="","",IF(W113=1,"NO – opted out. Do not email.",IF(I113="","Pick a contact type",IF(LEFT(I113,4)="Sole",IF(OR(LEFT(J113,7)="Consent",LEFT(J113,4)="Soft"),"Yes – add opt-out + privacy link",IF(LEFT(J113,8)="Contract","Reply about their enquiry only","NO – needs consent first (PECR)")),"Yes – add opt-out + privacy link"))))</f>
        <v/>
      </c>
      <c r="N113" s="38"/>
      <c r="O113" s="39"/>
      <c r="P113" s="38"/>
      <c r="Q113" s="39"/>
      <c r="R113" s="43" t="str">
        <f aca="false">IF(C113="","",IF(Q113&lt;&gt;"",Q113,IF(OR(W113=1,N113="Won",N113="Lost",N113="Parked"),"",IF(O113&lt;&gt;"",O113+Lists!$N$2,IF(B113&lt;&gt;"",B113+Lists!$N$2,"")))))</f>
        <v/>
      </c>
      <c r="S113" s="42" t="str">
        <f aca="true">IF(C113="","",IF(W113=1,"Grey – do not email",IF(N113="Won","Won",IF(OR(N113="Lost",N113="Parked"),"Closed",IF(R113="","Amber – add next action",IF(R113&lt;TODAY(),"Red – overdue",IF(R113=TODAY(),"Red – due today",IF(R113-TODAY()&lt;=Lists!$N$3,"Amber – due soon","Green – on track"))))))))</f>
        <v/>
      </c>
      <c r="T113" s="44"/>
      <c r="U113" s="38"/>
      <c r="V113" s="42" t="str">
        <f aca="true">IF(OR(C113="",W113=1,N113="Won",N113="Lost"),"",IF(ISNUMBER(R113),IF(R113&lt;=TODAY(),R113+ROW()/100000,""),""))</f>
        <v/>
      </c>
      <c r="W113" s="42" t="n">
        <f aca="false">IF(OR(L113="Y",AND(G113&lt;&gt;"",COUNTIF('Do not contact'!$A$6:$A$505,G113)&gt;0)),1,0)</f>
        <v>0</v>
      </c>
    </row>
    <row r="114" customFormat="false" ht="27.75" hidden="false" customHeight="true" outlineLevel="0" collapsed="false">
      <c r="A114" s="38"/>
      <c r="B114" s="39"/>
      <c r="C114" s="38"/>
      <c r="D114" s="38"/>
      <c r="E114" s="38"/>
      <c r="F114" s="38"/>
      <c r="G114" s="38"/>
      <c r="H114" s="40"/>
      <c r="I114" s="38"/>
      <c r="J114" s="38"/>
      <c r="K114" s="38"/>
      <c r="L114" s="41"/>
      <c r="M114" s="42" t="str">
        <f aca="false">IF(C114="","",IF(W114=1,"NO – opted out. Do not email.",IF(I114="","Pick a contact type",IF(LEFT(I114,4)="Sole",IF(OR(LEFT(J114,7)="Consent",LEFT(J114,4)="Soft"),"Yes – add opt-out + privacy link",IF(LEFT(J114,8)="Contract","Reply about their enquiry only","NO – needs consent first (PECR)")),"Yes – add opt-out + privacy link"))))</f>
        <v/>
      </c>
      <c r="N114" s="38"/>
      <c r="O114" s="39"/>
      <c r="P114" s="38"/>
      <c r="Q114" s="39"/>
      <c r="R114" s="43" t="str">
        <f aca="false">IF(C114="","",IF(Q114&lt;&gt;"",Q114,IF(OR(W114=1,N114="Won",N114="Lost",N114="Parked"),"",IF(O114&lt;&gt;"",O114+Lists!$N$2,IF(B114&lt;&gt;"",B114+Lists!$N$2,"")))))</f>
        <v/>
      </c>
      <c r="S114" s="42" t="str">
        <f aca="true">IF(C114="","",IF(W114=1,"Grey – do not email",IF(N114="Won","Won",IF(OR(N114="Lost",N114="Parked"),"Closed",IF(R114="","Amber – add next action",IF(R114&lt;TODAY(),"Red – overdue",IF(R114=TODAY(),"Red – due today",IF(R114-TODAY()&lt;=Lists!$N$3,"Amber – due soon","Green – on track"))))))))</f>
        <v/>
      </c>
      <c r="T114" s="44"/>
      <c r="U114" s="38"/>
      <c r="V114" s="42" t="str">
        <f aca="true">IF(OR(C114="",W114=1,N114="Won",N114="Lost"),"",IF(ISNUMBER(R114),IF(R114&lt;=TODAY(),R114+ROW()/100000,""),""))</f>
        <v/>
      </c>
      <c r="W114" s="42" t="n">
        <f aca="false">IF(OR(L114="Y",AND(G114&lt;&gt;"",COUNTIF('Do not contact'!$A$6:$A$505,G114)&gt;0)),1,0)</f>
        <v>0</v>
      </c>
    </row>
    <row r="115" customFormat="false" ht="27.75" hidden="false" customHeight="true" outlineLevel="0" collapsed="false">
      <c r="A115" s="38"/>
      <c r="B115" s="39"/>
      <c r="C115" s="38"/>
      <c r="D115" s="38"/>
      <c r="E115" s="38"/>
      <c r="F115" s="38"/>
      <c r="G115" s="38"/>
      <c r="H115" s="40"/>
      <c r="I115" s="38"/>
      <c r="J115" s="38"/>
      <c r="K115" s="38"/>
      <c r="L115" s="41"/>
      <c r="M115" s="42" t="str">
        <f aca="false">IF(C115="","",IF(W115=1,"NO – opted out. Do not email.",IF(I115="","Pick a contact type",IF(LEFT(I115,4)="Sole",IF(OR(LEFT(J115,7)="Consent",LEFT(J115,4)="Soft"),"Yes – add opt-out + privacy link",IF(LEFT(J115,8)="Contract","Reply about their enquiry only","NO – needs consent first (PECR)")),"Yes – add opt-out + privacy link"))))</f>
        <v/>
      </c>
      <c r="N115" s="38"/>
      <c r="O115" s="39"/>
      <c r="P115" s="38"/>
      <c r="Q115" s="39"/>
      <c r="R115" s="43" t="str">
        <f aca="false">IF(C115="","",IF(Q115&lt;&gt;"",Q115,IF(OR(W115=1,N115="Won",N115="Lost",N115="Parked"),"",IF(O115&lt;&gt;"",O115+Lists!$N$2,IF(B115&lt;&gt;"",B115+Lists!$N$2,"")))))</f>
        <v/>
      </c>
      <c r="S115" s="42" t="str">
        <f aca="true">IF(C115="","",IF(W115=1,"Grey – do not email",IF(N115="Won","Won",IF(OR(N115="Lost",N115="Parked"),"Closed",IF(R115="","Amber – add next action",IF(R115&lt;TODAY(),"Red – overdue",IF(R115=TODAY(),"Red – due today",IF(R115-TODAY()&lt;=Lists!$N$3,"Amber – due soon","Green – on track"))))))))</f>
        <v/>
      </c>
      <c r="T115" s="44"/>
      <c r="U115" s="38"/>
      <c r="V115" s="42" t="str">
        <f aca="true">IF(OR(C115="",W115=1,N115="Won",N115="Lost"),"",IF(ISNUMBER(R115),IF(R115&lt;=TODAY(),R115+ROW()/100000,""),""))</f>
        <v/>
      </c>
      <c r="W115" s="42" t="n">
        <f aca="false">IF(OR(L115="Y",AND(G115&lt;&gt;"",COUNTIF('Do not contact'!$A$6:$A$505,G115)&gt;0)),1,0)</f>
        <v>0</v>
      </c>
    </row>
    <row r="116" customFormat="false" ht="27.75" hidden="false" customHeight="true" outlineLevel="0" collapsed="false">
      <c r="A116" s="38"/>
      <c r="B116" s="39"/>
      <c r="C116" s="38"/>
      <c r="D116" s="38"/>
      <c r="E116" s="38"/>
      <c r="F116" s="38"/>
      <c r="G116" s="38"/>
      <c r="H116" s="40"/>
      <c r="I116" s="38"/>
      <c r="J116" s="38"/>
      <c r="K116" s="38"/>
      <c r="L116" s="41"/>
      <c r="M116" s="42" t="str">
        <f aca="false">IF(C116="","",IF(W116=1,"NO – opted out. Do not email.",IF(I116="","Pick a contact type",IF(LEFT(I116,4)="Sole",IF(OR(LEFT(J116,7)="Consent",LEFT(J116,4)="Soft"),"Yes – add opt-out + privacy link",IF(LEFT(J116,8)="Contract","Reply about their enquiry only","NO – needs consent first (PECR)")),"Yes – add opt-out + privacy link"))))</f>
        <v/>
      </c>
      <c r="N116" s="38"/>
      <c r="O116" s="39"/>
      <c r="P116" s="38"/>
      <c r="Q116" s="39"/>
      <c r="R116" s="43" t="str">
        <f aca="false">IF(C116="","",IF(Q116&lt;&gt;"",Q116,IF(OR(W116=1,N116="Won",N116="Lost",N116="Parked"),"",IF(O116&lt;&gt;"",O116+Lists!$N$2,IF(B116&lt;&gt;"",B116+Lists!$N$2,"")))))</f>
        <v/>
      </c>
      <c r="S116" s="42" t="str">
        <f aca="true">IF(C116="","",IF(W116=1,"Grey – do not email",IF(N116="Won","Won",IF(OR(N116="Lost",N116="Parked"),"Closed",IF(R116="","Amber – add next action",IF(R116&lt;TODAY(),"Red – overdue",IF(R116=TODAY(),"Red – due today",IF(R116-TODAY()&lt;=Lists!$N$3,"Amber – due soon","Green – on track"))))))))</f>
        <v/>
      </c>
      <c r="T116" s="44"/>
      <c r="U116" s="38"/>
      <c r="V116" s="42" t="str">
        <f aca="true">IF(OR(C116="",W116=1,N116="Won",N116="Lost"),"",IF(ISNUMBER(R116),IF(R116&lt;=TODAY(),R116+ROW()/100000,""),""))</f>
        <v/>
      </c>
      <c r="W116" s="42" t="n">
        <f aca="false">IF(OR(L116="Y",AND(G116&lt;&gt;"",COUNTIF('Do not contact'!$A$6:$A$505,G116)&gt;0)),1,0)</f>
        <v>0</v>
      </c>
    </row>
    <row r="117" customFormat="false" ht="27.75" hidden="false" customHeight="true" outlineLevel="0" collapsed="false">
      <c r="A117" s="38"/>
      <c r="B117" s="39"/>
      <c r="C117" s="38"/>
      <c r="D117" s="38"/>
      <c r="E117" s="38"/>
      <c r="F117" s="38"/>
      <c r="G117" s="38"/>
      <c r="H117" s="40"/>
      <c r="I117" s="38"/>
      <c r="J117" s="38"/>
      <c r="K117" s="38"/>
      <c r="L117" s="41"/>
      <c r="M117" s="42" t="str">
        <f aca="false">IF(C117="","",IF(W117=1,"NO – opted out. Do not email.",IF(I117="","Pick a contact type",IF(LEFT(I117,4)="Sole",IF(OR(LEFT(J117,7)="Consent",LEFT(J117,4)="Soft"),"Yes – add opt-out + privacy link",IF(LEFT(J117,8)="Contract","Reply about their enquiry only","NO – needs consent first (PECR)")),"Yes – add opt-out + privacy link"))))</f>
        <v/>
      </c>
      <c r="N117" s="38"/>
      <c r="O117" s="39"/>
      <c r="P117" s="38"/>
      <c r="Q117" s="39"/>
      <c r="R117" s="43" t="str">
        <f aca="false">IF(C117="","",IF(Q117&lt;&gt;"",Q117,IF(OR(W117=1,N117="Won",N117="Lost",N117="Parked"),"",IF(O117&lt;&gt;"",O117+Lists!$N$2,IF(B117&lt;&gt;"",B117+Lists!$N$2,"")))))</f>
        <v/>
      </c>
      <c r="S117" s="42" t="str">
        <f aca="true">IF(C117="","",IF(W117=1,"Grey – do not email",IF(N117="Won","Won",IF(OR(N117="Lost",N117="Parked"),"Closed",IF(R117="","Amber – add next action",IF(R117&lt;TODAY(),"Red – overdue",IF(R117=TODAY(),"Red – due today",IF(R117-TODAY()&lt;=Lists!$N$3,"Amber – due soon","Green – on track"))))))))</f>
        <v/>
      </c>
      <c r="T117" s="44"/>
      <c r="U117" s="38"/>
      <c r="V117" s="42" t="str">
        <f aca="true">IF(OR(C117="",W117=1,N117="Won",N117="Lost"),"",IF(ISNUMBER(R117),IF(R117&lt;=TODAY(),R117+ROW()/100000,""),""))</f>
        <v/>
      </c>
      <c r="W117" s="42" t="n">
        <f aca="false">IF(OR(L117="Y",AND(G117&lt;&gt;"",COUNTIF('Do not contact'!$A$6:$A$505,G117)&gt;0)),1,0)</f>
        <v>0</v>
      </c>
    </row>
    <row r="118" customFormat="false" ht="27.75" hidden="false" customHeight="true" outlineLevel="0" collapsed="false">
      <c r="A118" s="38"/>
      <c r="B118" s="39"/>
      <c r="C118" s="38"/>
      <c r="D118" s="38"/>
      <c r="E118" s="38"/>
      <c r="F118" s="38"/>
      <c r="G118" s="38"/>
      <c r="H118" s="40"/>
      <c r="I118" s="38"/>
      <c r="J118" s="38"/>
      <c r="K118" s="38"/>
      <c r="L118" s="41"/>
      <c r="M118" s="42" t="str">
        <f aca="false">IF(C118="","",IF(W118=1,"NO – opted out. Do not email.",IF(I118="","Pick a contact type",IF(LEFT(I118,4)="Sole",IF(OR(LEFT(J118,7)="Consent",LEFT(J118,4)="Soft"),"Yes – add opt-out + privacy link",IF(LEFT(J118,8)="Contract","Reply about their enquiry only","NO – needs consent first (PECR)")),"Yes – add opt-out + privacy link"))))</f>
        <v/>
      </c>
      <c r="N118" s="38"/>
      <c r="O118" s="39"/>
      <c r="P118" s="38"/>
      <c r="Q118" s="39"/>
      <c r="R118" s="43" t="str">
        <f aca="false">IF(C118="","",IF(Q118&lt;&gt;"",Q118,IF(OR(W118=1,N118="Won",N118="Lost",N118="Parked"),"",IF(O118&lt;&gt;"",O118+Lists!$N$2,IF(B118&lt;&gt;"",B118+Lists!$N$2,"")))))</f>
        <v/>
      </c>
      <c r="S118" s="42" t="str">
        <f aca="true">IF(C118="","",IF(W118=1,"Grey – do not email",IF(N118="Won","Won",IF(OR(N118="Lost",N118="Parked"),"Closed",IF(R118="","Amber – add next action",IF(R118&lt;TODAY(),"Red – overdue",IF(R118=TODAY(),"Red – due today",IF(R118-TODAY()&lt;=Lists!$N$3,"Amber – due soon","Green – on track"))))))))</f>
        <v/>
      </c>
      <c r="T118" s="44"/>
      <c r="U118" s="38"/>
      <c r="V118" s="42" t="str">
        <f aca="true">IF(OR(C118="",W118=1,N118="Won",N118="Lost"),"",IF(ISNUMBER(R118),IF(R118&lt;=TODAY(),R118+ROW()/100000,""),""))</f>
        <v/>
      </c>
      <c r="W118" s="42" t="n">
        <f aca="false">IF(OR(L118="Y",AND(G118&lt;&gt;"",COUNTIF('Do not contact'!$A$6:$A$505,G118)&gt;0)),1,0)</f>
        <v>0</v>
      </c>
    </row>
    <row r="119" customFormat="false" ht="27.75" hidden="false" customHeight="true" outlineLevel="0" collapsed="false">
      <c r="A119" s="38"/>
      <c r="B119" s="39"/>
      <c r="C119" s="38"/>
      <c r="D119" s="38"/>
      <c r="E119" s="38"/>
      <c r="F119" s="38"/>
      <c r="G119" s="38"/>
      <c r="H119" s="40"/>
      <c r="I119" s="38"/>
      <c r="J119" s="38"/>
      <c r="K119" s="38"/>
      <c r="L119" s="41"/>
      <c r="M119" s="42" t="str">
        <f aca="false">IF(C119="","",IF(W119=1,"NO – opted out. Do not email.",IF(I119="","Pick a contact type",IF(LEFT(I119,4)="Sole",IF(OR(LEFT(J119,7)="Consent",LEFT(J119,4)="Soft"),"Yes – add opt-out + privacy link",IF(LEFT(J119,8)="Contract","Reply about their enquiry only","NO – needs consent first (PECR)")),"Yes – add opt-out + privacy link"))))</f>
        <v/>
      </c>
      <c r="N119" s="38"/>
      <c r="O119" s="39"/>
      <c r="P119" s="38"/>
      <c r="Q119" s="39"/>
      <c r="R119" s="43" t="str">
        <f aca="false">IF(C119="","",IF(Q119&lt;&gt;"",Q119,IF(OR(W119=1,N119="Won",N119="Lost",N119="Parked"),"",IF(O119&lt;&gt;"",O119+Lists!$N$2,IF(B119&lt;&gt;"",B119+Lists!$N$2,"")))))</f>
        <v/>
      </c>
      <c r="S119" s="42" t="str">
        <f aca="true">IF(C119="","",IF(W119=1,"Grey – do not email",IF(N119="Won","Won",IF(OR(N119="Lost",N119="Parked"),"Closed",IF(R119="","Amber – add next action",IF(R119&lt;TODAY(),"Red – overdue",IF(R119=TODAY(),"Red – due today",IF(R119-TODAY()&lt;=Lists!$N$3,"Amber – due soon","Green – on track"))))))))</f>
        <v/>
      </c>
      <c r="T119" s="44"/>
      <c r="U119" s="38"/>
      <c r="V119" s="42" t="str">
        <f aca="true">IF(OR(C119="",W119=1,N119="Won",N119="Lost"),"",IF(ISNUMBER(R119),IF(R119&lt;=TODAY(),R119+ROW()/100000,""),""))</f>
        <v/>
      </c>
      <c r="W119" s="42" t="n">
        <f aca="false">IF(OR(L119="Y",AND(G119&lt;&gt;"",COUNTIF('Do not contact'!$A$6:$A$505,G119)&gt;0)),1,0)</f>
        <v>0</v>
      </c>
    </row>
    <row r="120" customFormat="false" ht="27.75" hidden="false" customHeight="true" outlineLevel="0" collapsed="false">
      <c r="A120" s="38"/>
      <c r="B120" s="39"/>
      <c r="C120" s="38"/>
      <c r="D120" s="38"/>
      <c r="E120" s="38"/>
      <c r="F120" s="38"/>
      <c r="G120" s="38"/>
      <c r="H120" s="40"/>
      <c r="I120" s="38"/>
      <c r="J120" s="38"/>
      <c r="K120" s="38"/>
      <c r="L120" s="41"/>
      <c r="M120" s="42" t="str">
        <f aca="false">IF(C120="","",IF(W120=1,"NO – opted out. Do not email.",IF(I120="","Pick a contact type",IF(LEFT(I120,4)="Sole",IF(OR(LEFT(J120,7)="Consent",LEFT(J120,4)="Soft"),"Yes – add opt-out + privacy link",IF(LEFT(J120,8)="Contract","Reply about their enquiry only","NO – needs consent first (PECR)")),"Yes – add opt-out + privacy link"))))</f>
        <v/>
      </c>
      <c r="N120" s="38"/>
      <c r="O120" s="39"/>
      <c r="P120" s="38"/>
      <c r="Q120" s="39"/>
      <c r="R120" s="43" t="str">
        <f aca="false">IF(C120="","",IF(Q120&lt;&gt;"",Q120,IF(OR(W120=1,N120="Won",N120="Lost",N120="Parked"),"",IF(O120&lt;&gt;"",O120+Lists!$N$2,IF(B120&lt;&gt;"",B120+Lists!$N$2,"")))))</f>
        <v/>
      </c>
      <c r="S120" s="42" t="str">
        <f aca="true">IF(C120="","",IF(W120=1,"Grey – do not email",IF(N120="Won","Won",IF(OR(N120="Lost",N120="Parked"),"Closed",IF(R120="","Amber – add next action",IF(R120&lt;TODAY(),"Red – overdue",IF(R120=TODAY(),"Red – due today",IF(R120-TODAY()&lt;=Lists!$N$3,"Amber – due soon","Green – on track"))))))))</f>
        <v/>
      </c>
      <c r="T120" s="44"/>
      <c r="U120" s="38"/>
      <c r="V120" s="42" t="str">
        <f aca="true">IF(OR(C120="",W120=1,N120="Won",N120="Lost"),"",IF(ISNUMBER(R120),IF(R120&lt;=TODAY(),R120+ROW()/100000,""),""))</f>
        <v/>
      </c>
      <c r="W120" s="42" t="n">
        <f aca="false">IF(OR(L120="Y",AND(G120&lt;&gt;"",COUNTIF('Do not contact'!$A$6:$A$505,G120)&gt;0)),1,0)</f>
        <v>0</v>
      </c>
    </row>
    <row r="121" customFormat="false" ht="27.75" hidden="false" customHeight="true" outlineLevel="0" collapsed="false">
      <c r="A121" s="38"/>
      <c r="B121" s="39"/>
      <c r="C121" s="38"/>
      <c r="D121" s="38"/>
      <c r="E121" s="38"/>
      <c r="F121" s="38"/>
      <c r="G121" s="38"/>
      <c r="H121" s="40"/>
      <c r="I121" s="38"/>
      <c r="J121" s="38"/>
      <c r="K121" s="38"/>
      <c r="L121" s="41"/>
      <c r="M121" s="42" t="str">
        <f aca="false">IF(C121="","",IF(W121=1,"NO – opted out. Do not email.",IF(I121="","Pick a contact type",IF(LEFT(I121,4)="Sole",IF(OR(LEFT(J121,7)="Consent",LEFT(J121,4)="Soft"),"Yes – add opt-out + privacy link",IF(LEFT(J121,8)="Contract","Reply about their enquiry only","NO – needs consent first (PECR)")),"Yes – add opt-out + privacy link"))))</f>
        <v/>
      </c>
      <c r="N121" s="38"/>
      <c r="O121" s="39"/>
      <c r="P121" s="38"/>
      <c r="Q121" s="39"/>
      <c r="R121" s="43" t="str">
        <f aca="false">IF(C121="","",IF(Q121&lt;&gt;"",Q121,IF(OR(W121=1,N121="Won",N121="Lost",N121="Parked"),"",IF(O121&lt;&gt;"",O121+Lists!$N$2,IF(B121&lt;&gt;"",B121+Lists!$N$2,"")))))</f>
        <v/>
      </c>
      <c r="S121" s="42" t="str">
        <f aca="true">IF(C121="","",IF(W121=1,"Grey – do not email",IF(N121="Won","Won",IF(OR(N121="Lost",N121="Parked"),"Closed",IF(R121="","Amber – add next action",IF(R121&lt;TODAY(),"Red – overdue",IF(R121=TODAY(),"Red – due today",IF(R121-TODAY()&lt;=Lists!$N$3,"Amber – due soon","Green – on track"))))))))</f>
        <v/>
      </c>
      <c r="T121" s="44"/>
      <c r="U121" s="38"/>
      <c r="V121" s="42" t="str">
        <f aca="true">IF(OR(C121="",W121=1,N121="Won",N121="Lost"),"",IF(ISNUMBER(R121),IF(R121&lt;=TODAY(),R121+ROW()/100000,""),""))</f>
        <v/>
      </c>
      <c r="W121" s="42" t="n">
        <f aca="false">IF(OR(L121="Y",AND(G121&lt;&gt;"",COUNTIF('Do not contact'!$A$6:$A$505,G121)&gt;0)),1,0)</f>
        <v>0</v>
      </c>
    </row>
    <row r="122" customFormat="false" ht="27.75" hidden="false" customHeight="true" outlineLevel="0" collapsed="false">
      <c r="A122" s="38"/>
      <c r="B122" s="39"/>
      <c r="C122" s="38"/>
      <c r="D122" s="38"/>
      <c r="E122" s="38"/>
      <c r="F122" s="38"/>
      <c r="G122" s="38"/>
      <c r="H122" s="40"/>
      <c r="I122" s="38"/>
      <c r="J122" s="38"/>
      <c r="K122" s="38"/>
      <c r="L122" s="41"/>
      <c r="M122" s="42" t="str">
        <f aca="false">IF(C122="","",IF(W122=1,"NO – opted out. Do not email.",IF(I122="","Pick a contact type",IF(LEFT(I122,4)="Sole",IF(OR(LEFT(J122,7)="Consent",LEFT(J122,4)="Soft"),"Yes – add opt-out + privacy link",IF(LEFT(J122,8)="Contract","Reply about their enquiry only","NO – needs consent first (PECR)")),"Yes – add opt-out + privacy link"))))</f>
        <v/>
      </c>
      <c r="N122" s="38"/>
      <c r="O122" s="39"/>
      <c r="P122" s="38"/>
      <c r="Q122" s="39"/>
      <c r="R122" s="43" t="str">
        <f aca="false">IF(C122="","",IF(Q122&lt;&gt;"",Q122,IF(OR(W122=1,N122="Won",N122="Lost",N122="Parked"),"",IF(O122&lt;&gt;"",O122+Lists!$N$2,IF(B122&lt;&gt;"",B122+Lists!$N$2,"")))))</f>
        <v/>
      </c>
      <c r="S122" s="42" t="str">
        <f aca="true">IF(C122="","",IF(W122=1,"Grey – do not email",IF(N122="Won","Won",IF(OR(N122="Lost",N122="Parked"),"Closed",IF(R122="","Amber – add next action",IF(R122&lt;TODAY(),"Red – overdue",IF(R122=TODAY(),"Red – due today",IF(R122-TODAY()&lt;=Lists!$N$3,"Amber – due soon","Green – on track"))))))))</f>
        <v/>
      </c>
      <c r="T122" s="44"/>
      <c r="U122" s="38"/>
      <c r="V122" s="42" t="str">
        <f aca="true">IF(OR(C122="",W122=1,N122="Won",N122="Lost"),"",IF(ISNUMBER(R122),IF(R122&lt;=TODAY(),R122+ROW()/100000,""),""))</f>
        <v/>
      </c>
      <c r="W122" s="42" t="n">
        <f aca="false">IF(OR(L122="Y",AND(G122&lt;&gt;"",COUNTIF('Do not contact'!$A$6:$A$505,G122)&gt;0)),1,0)</f>
        <v>0</v>
      </c>
    </row>
    <row r="123" customFormat="false" ht="27.75" hidden="false" customHeight="true" outlineLevel="0" collapsed="false">
      <c r="A123" s="38"/>
      <c r="B123" s="39"/>
      <c r="C123" s="38"/>
      <c r="D123" s="38"/>
      <c r="E123" s="38"/>
      <c r="F123" s="38"/>
      <c r="G123" s="38"/>
      <c r="H123" s="40"/>
      <c r="I123" s="38"/>
      <c r="J123" s="38"/>
      <c r="K123" s="38"/>
      <c r="L123" s="41"/>
      <c r="M123" s="42" t="str">
        <f aca="false">IF(C123="","",IF(W123=1,"NO – opted out. Do not email.",IF(I123="","Pick a contact type",IF(LEFT(I123,4)="Sole",IF(OR(LEFT(J123,7)="Consent",LEFT(J123,4)="Soft"),"Yes – add opt-out + privacy link",IF(LEFT(J123,8)="Contract","Reply about their enquiry only","NO – needs consent first (PECR)")),"Yes – add opt-out + privacy link"))))</f>
        <v/>
      </c>
      <c r="N123" s="38"/>
      <c r="O123" s="39"/>
      <c r="P123" s="38"/>
      <c r="Q123" s="39"/>
      <c r="R123" s="43" t="str">
        <f aca="false">IF(C123="","",IF(Q123&lt;&gt;"",Q123,IF(OR(W123=1,N123="Won",N123="Lost",N123="Parked"),"",IF(O123&lt;&gt;"",O123+Lists!$N$2,IF(B123&lt;&gt;"",B123+Lists!$N$2,"")))))</f>
        <v/>
      </c>
      <c r="S123" s="42" t="str">
        <f aca="true">IF(C123="","",IF(W123=1,"Grey – do not email",IF(N123="Won","Won",IF(OR(N123="Lost",N123="Parked"),"Closed",IF(R123="","Amber – add next action",IF(R123&lt;TODAY(),"Red – overdue",IF(R123=TODAY(),"Red – due today",IF(R123-TODAY()&lt;=Lists!$N$3,"Amber – due soon","Green – on track"))))))))</f>
        <v/>
      </c>
      <c r="T123" s="44"/>
      <c r="U123" s="38"/>
      <c r="V123" s="42" t="str">
        <f aca="true">IF(OR(C123="",W123=1,N123="Won",N123="Lost"),"",IF(ISNUMBER(R123),IF(R123&lt;=TODAY(),R123+ROW()/100000,""),""))</f>
        <v/>
      </c>
      <c r="W123" s="42" t="n">
        <f aca="false">IF(OR(L123="Y",AND(G123&lt;&gt;"",COUNTIF('Do not contact'!$A$6:$A$505,G123)&gt;0)),1,0)</f>
        <v>0</v>
      </c>
    </row>
    <row r="124" customFormat="false" ht="27.75" hidden="false" customHeight="true" outlineLevel="0" collapsed="false">
      <c r="A124" s="38"/>
      <c r="B124" s="39"/>
      <c r="C124" s="38"/>
      <c r="D124" s="38"/>
      <c r="E124" s="38"/>
      <c r="F124" s="38"/>
      <c r="G124" s="38"/>
      <c r="H124" s="40"/>
      <c r="I124" s="38"/>
      <c r="J124" s="38"/>
      <c r="K124" s="38"/>
      <c r="L124" s="41"/>
      <c r="M124" s="42" t="str">
        <f aca="false">IF(C124="","",IF(W124=1,"NO – opted out. Do not email.",IF(I124="","Pick a contact type",IF(LEFT(I124,4)="Sole",IF(OR(LEFT(J124,7)="Consent",LEFT(J124,4)="Soft"),"Yes – add opt-out + privacy link",IF(LEFT(J124,8)="Contract","Reply about their enquiry only","NO – needs consent first (PECR)")),"Yes – add opt-out + privacy link"))))</f>
        <v/>
      </c>
      <c r="N124" s="38"/>
      <c r="O124" s="39"/>
      <c r="P124" s="38"/>
      <c r="Q124" s="39"/>
      <c r="R124" s="43" t="str">
        <f aca="false">IF(C124="","",IF(Q124&lt;&gt;"",Q124,IF(OR(W124=1,N124="Won",N124="Lost",N124="Parked"),"",IF(O124&lt;&gt;"",O124+Lists!$N$2,IF(B124&lt;&gt;"",B124+Lists!$N$2,"")))))</f>
        <v/>
      </c>
      <c r="S124" s="42" t="str">
        <f aca="true">IF(C124="","",IF(W124=1,"Grey – do not email",IF(N124="Won","Won",IF(OR(N124="Lost",N124="Parked"),"Closed",IF(R124="","Amber – add next action",IF(R124&lt;TODAY(),"Red – overdue",IF(R124=TODAY(),"Red – due today",IF(R124-TODAY()&lt;=Lists!$N$3,"Amber – due soon","Green – on track"))))))))</f>
        <v/>
      </c>
      <c r="T124" s="44"/>
      <c r="U124" s="38"/>
      <c r="V124" s="42" t="str">
        <f aca="true">IF(OR(C124="",W124=1,N124="Won",N124="Lost"),"",IF(ISNUMBER(R124),IF(R124&lt;=TODAY(),R124+ROW()/100000,""),""))</f>
        <v/>
      </c>
      <c r="W124" s="42" t="n">
        <f aca="false">IF(OR(L124="Y",AND(G124&lt;&gt;"",COUNTIF('Do not contact'!$A$6:$A$505,G124)&gt;0)),1,0)</f>
        <v>0</v>
      </c>
    </row>
    <row r="125" customFormat="false" ht="27.75" hidden="false" customHeight="true" outlineLevel="0" collapsed="false">
      <c r="A125" s="38"/>
      <c r="B125" s="39"/>
      <c r="C125" s="38"/>
      <c r="D125" s="38"/>
      <c r="E125" s="38"/>
      <c r="F125" s="38"/>
      <c r="G125" s="38"/>
      <c r="H125" s="40"/>
      <c r="I125" s="38"/>
      <c r="J125" s="38"/>
      <c r="K125" s="38"/>
      <c r="L125" s="41"/>
      <c r="M125" s="42" t="str">
        <f aca="false">IF(C125="","",IF(W125=1,"NO – opted out. Do not email.",IF(I125="","Pick a contact type",IF(LEFT(I125,4)="Sole",IF(OR(LEFT(J125,7)="Consent",LEFT(J125,4)="Soft"),"Yes – add opt-out + privacy link",IF(LEFT(J125,8)="Contract","Reply about their enquiry only","NO – needs consent first (PECR)")),"Yes – add opt-out + privacy link"))))</f>
        <v/>
      </c>
      <c r="N125" s="38"/>
      <c r="O125" s="39"/>
      <c r="P125" s="38"/>
      <c r="Q125" s="39"/>
      <c r="R125" s="43" t="str">
        <f aca="false">IF(C125="","",IF(Q125&lt;&gt;"",Q125,IF(OR(W125=1,N125="Won",N125="Lost",N125="Parked"),"",IF(O125&lt;&gt;"",O125+Lists!$N$2,IF(B125&lt;&gt;"",B125+Lists!$N$2,"")))))</f>
        <v/>
      </c>
      <c r="S125" s="42" t="str">
        <f aca="true">IF(C125="","",IF(W125=1,"Grey – do not email",IF(N125="Won","Won",IF(OR(N125="Lost",N125="Parked"),"Closed",IF(R125="","Amber – add next action",IF(R125&lt;TODAY(),"Red – overdue",IF(R125=TODAY(),"Red – due today",IF(R125-TODAY()&lt;=Lists!$N$3,"Amber – due soon","Green – on track"))))))))</f>
        <v/>
      </c>
      <c r="T125" s="44"/>
      <c r="U125" s="38"/>
      <c r="V125" s="42" t="str">
        <f aca="true">IF(OR(C125="",W125=1,N125="Won",N125="Lost"),"",IF(ISNUMBER(R125),IF(R125&lt;=TODAY(),R125+ROW()/100000,""),""))</f>
        <v/>
      </c>
      <c r="W125" s="42" t="n">
        <f aca="false">IF(OR(L125="Y",AND(G125&lt;&gt;"",COUNTIF('Do not contact'!$A$6:$A$505,G125)&gt;0)),1,0)</f>
        <v>0</v>
      </c>
    </row>
    <row r="126" customFormat="false" ht="27.75" hidden="false" customHeight="true" outlineLevel="0" collapsed="false">
      <c r="A126" s="38"/>
      <c r="B126" s="39"/>
      <c r="C126" s="38"/>
      <c r="D126" s="38"/>
      <c r="E126" s="38"/>
      <c r="F126" s="38"/>
      <c r="G126" s="38"/>
      <c r="H126" s="40"/>
      <c r="I126" s="38"/>
      <c r="J126" s="38"/>
      <c r="K126" s="38"/>
      <c r="L126" s="41"/>
      <c r="M126" s="42" t="str">
        <f aca="false">IF(C126="","",IF(W126=1,"NO – opted out. Do not email.",IF(I126="","Pick a contact type",IF(LEFT(I126,4)="Sole",IF(OR(LEFT(J126,7)="Consent",LEFT(J126,4)="Soft"),"Yes – add opt-out + privacy link",IF(LEFT(J126,8)="Contract","Reply about their enquiry only","NO – needs consent first (PECR)")),"Yes – add opt-out + privacy link"))))</f>
        <v/>
      </c>
      <c r="N126" s="38"/>
      <c r="O126" s="39"/>
      <c r="P126" s="38"/>
      <c r="Q126" s="39"/>
      <c r="R126" s="43" t="str">
        <f aca="false">IF(C126="","",IF(Q126&lt;&gt;"",Q126,IF(OR(W126=1,N126="Won",N126="Lost",N126="Parked"),"",IF(O126&lt;&gt;"",O126+Lists!$N$2,IF(B126&lt;&gt;"",B126+Lists!$N$2,"")))))</f>
        <v/>
      </c>
      <c r="S126" s="42" t="str">
        <f aca="true">IF(C126="","",IF(W126=1,"Grey – do not email",IF(N126="Won","Won",IF(OR(N126="Lost",N126="Parked"),"Closed",IF(R126="","Amber – add next action",IF(R126&lt;TODAY(),"Red – overdue",IF(R126=TODAY(),"Red – due today",IF(R126-TODAY()&lt;=Lists!$N$3,"Amber – due soon","Green – on track"))))))))</f>
        <v/>
      </c>
      <c r="T126" s="44"/>
      <c r="U126" s="38"/>
      <c r="V126" s="42" t="str">
        <f aca="true">IF(OR(C126="",W126=1,N126="Won",N126="Lost"),"",IF(ISNUMBER(R126),IF(R126&lt;=TODAY(),R126+ROW()/100000,""),""))</f>
        <v/>
      </c>
      <c r="W126" s="42" t="n">
        <f aca="false">IF(OR(L126="Y",AND(G126&lt;&gt;"",COUNTIF('Do not contact'!$A$6:$A$505,G126)&gt;0)),1,0)</f>
        <v>0</v>
      </c>
    </row>
    <row r="127" customFormat="false" ht="27.75" hidden="false" customHeight="true" outlineLevel="0" collapsed="false">
      <c r="A127" s="38"/>
      <c r="B127" s="39"/>
      <c r="C127" s="38"/>
      <c r="D127" s="38"/>
      <c r="E127" s="38"/>
      <c r="F127" s="38"/>
      <c r="G127" s="38"/>
      <c r="H127" s="40"/>
      <c r="I127" s="38"/>
      <c r="J127" s="38"/>
      <c r="K127" s="38"/>
      <c r="L127" s="41"/>
      <c r="M127" s="42" t="str">
        <f aca="false">IF(C127="","",IF(W127=1,"NO – opted out. Do not email.",IF(I127="","Pick a contact type",IF(LEFT(I127,4)="Sole",IF(OR(LEFT(J127,7)="Consent",LEFT(J127,4)="Soft"),"Yes – add opt-out + privacy link",IF(LEFT(J127,8)="Contract","Reply about their enquiry only","NO – needs consent first (PECR)")),"Yes – add opt-out + privacy link"))))</f>
        <v/>
      </c>
      <c r="N127" s="38"/>
      <c r="O127" s="39"/>
      <c r="P127" s="38"/>
      <c r="Q127" s="39"/>
      <c r="R127" s="43" t="str">
        <f aca="false">IF(C127="","",IF(Q127&lt;&gt;"",Q127,IF(OR(W127=1,N127="Won",N127="Lost",N127="Parked"),"",IF(O127&lt;&gt;"",O127+Lists!$N$2,IF(B127&lt;&gt;"",B127+Lists!$N$2,"")))))</f>
        <v/>
      </c>
      <c r="S127" s="42" t="str">
        <f aca="true">IF(C127="","",IF(W127=1,"Grey – do not email",IF(N127="Won","Won",IF(OR(N127="Lost",N127="Parked"),"Closed",IF(R127="","Amber – add next action",IF(R127&lt;TODAY(),"Red – overdue",IF(R127=TODAY(),"Red – due today",IF(R127-TODAY()&lt;=Lists!$N$3,"Amber – due soon","Green – on track"))))))))</f>
        <v/>
      </c>
      <c r="T127" s="44"/>
      <c r="U127" s="38"/>
      <c r="V127" s="42" t="str">
        <f aca="true">IF(OR(C127="",W127=1,N127="Won",N127="Lost"),"",IF(ISNUMBER(R127),IF(R127&lt;=TODAY(),R127+ROW()/100000,""),""))</f>
        <v/>
      </c>
      <c r="W127" s="42" t="n">
        <f aca="false">IF(OR(L127="Y",AND(G127&lt;&gt;"",COUNTIF('Do not contact'!$A$6:$A$505,G127)&gt;0)),1,0)</f>
        <v>0</v>
      </c>
    </row>
    <row r="128" customFormat="false" ht="27.75" hidden="false" customHeight="true" outlineLevel="0" collapsed="false">
      <c r="A128" s="38"/>
      <c r="B128" s="39"/>
      <c r="C128" s="38"/>
      <c r="D128" s="38"/>
      <c r="E128" s="38"/>
      <c r="F128" s="38"/>
      <c r="G128" s="38"/>
      <c r="H128" s="40"/>
      <c r="I128" s="38"/>
      <c r="J128" s="38"/>
      <c r="K128" s="38"/>
      <c r="L128" s="41"/>
      <c r="M128" s="42" t="str">
        <f aca="false">IF(C128="","",IF(W128=1,"NO – opted out. Do not email.",IF(I128="","Pick a contact type",IF(LEFT(I128,4)="Sole",IF(OR(LEFT(J128,7)="Consent",LEFT(J128,4)="Soft"),"Yes – add opt-out + privacy link",IF(LEFT(J128,8)="Contract","Reply about their enquiry only","NO – needs consent first (PECR)")),"Yes – add opt-out + privacy link"))))</f>
        <v/>
      </c>
      <c r="N128" s="38"/>
      <c r="O128" s="39"/>
      <c r="P128" s="38"/>
      <c r="Q128" s="39"/>
      <c r="R128" s="43" t="str">
        <f aca="false">IF(C128="","",IF(Q128&lt;&gt;"",Q128,IF(OR(W128=1,N128="Won",N128="Lost",N128="Parked"),"",IF(O128&lt;&gt;"",O128+Lists!$N$2,IF(B128&lt;&gt;"",B128+Lists!$N$2,"")))))</f>
        <v/>
      </c>
      <c r="S128" s="42" t="str">
        <f aca="true">IF(C128="","",IF(W128=1,"Grey – do not email",IF(N128="Won","Won",IF(OR(N128="Lost",N128="Parked"),"Closed",IF(R128="","Amber – add next action",IF(R128&lt;TODAY(),"Red – overdue",IF(R128=TODAY(),"Red – due today",IF(R128-TODAY()&lt;=Lists!$N$3,"Amber – due soon","Green – on track"))))))))</f>
        <v/>
      </c>
      <c r="T128" s="44"/>
      <c r="U128" s="38"/>
      <c r="V128" s="42" t="str">
        <f aca="true">IF(OR(C128="",W128=1,N128="Won",N128="Lost"),"",IF(ISNUMBER(R128),IF(R128&lt;=TODAY(),R128+ROW()/100000,""),""))</f>
        <v/>
      </c>
      <c r="W128" s="42" t="n">
        <f aca="false">IF(OR(L128="Y",AND(G128&lt;&gt;"",COUNTIF('Do not contact'!$A$6:$A$505,G128)&gt;0)),1,0)</f>
        <v>0</v>
      </c>
    </row>
    <row r="129" customFormat="false" ht="27.75" hidden="false" customHeight="true" outlineLevel="0" collapsed="false">
      <c r="A129" s="38"/>
      <c r="B129" s="39"/>
      <c r="C129" s="38"/>
      <c r="D129" s="38"/>
      <c r="E129" s="38"/>
      <c r="F129" s="38"/>
      <c r="G129" s="38"/>
      <c r="H129" s="40"/>
      <c r="I129" s="38"/>
      <c r="J129" s="38"/>
      <c r="K129" s="38"/>
      <c r="L129" s="41"/>
      <c r="M129" s="42" t="str">
        <f aca="false">IF(C129="","",IF(W129=1,"NO – opted out. Do not email.",IF(I129="","Pick a contact type",IF(LEFT(I129,4)="Sole",IF(OR(LEFT(J129,7)="Consent",LEFT(J129,4)="Soft"),"Yes – add opt-out + privacy link",IF(LEFT(J129,8)="Contract","Reply about their enquiry only","NO – needs consent first (PECR)")),"Yes – add opt-out + privacy link"))))</f>
        <v/>
      </c>
      <c r="N129" s="38"/>
      <c r="O129" s="39"/>
      <c r="P129" s="38"/>
      <c r="Q129" s="39"/>
      <c r="R129" s="43" t="str">
        <f aca="false">IF(C129="","",IF(Q129&lt;&gt;"",Q129,IF(OR(W129=1,N129="Won",N129="Lost",N129="Parked"),"",IF(O129&lt;&gt;"",O129+Lists!$N$2,IF(B129&lt;&gt;"",B129+Lists!$N$2,"")))))</f>
        <v/>
      </c>
      <c r="S129" s="42" t="str">
        <f aca="true">IF(C129="","",IF(W129=1,"Grey – do not email",IF(N129="Won","Won",IF(OR(N129="Lost",N129="Parked"),"Closed",IF(R129="","Amber – add next action",IF(R129&lt;TODAY(),"Red – overdue",IF(R129=TODAY(),"Red – due today",IF(R129-TODAY()&lt;=Lists!$N$3,"Amber – due soon","Green – on track"))))))))</f>
        <v/>
      </c>
      <c r="T129" s="44"/>
      <c r="U129" s="38"/>
      <c r="V129" s="42" t="str">
        <f aca="true">IF(OR(C129="",W129=1,N129="Won",N129="Lost"),"",IF(ISNUMBER(R129),IF(R129&lt;=TODAY(),R129+ROW()/100000,""),""))</f>
        <v/>
      </c>
      <c r="W129" s="42" t="n">
        <f aca="false">IF(OR(L129="Y",AND(G129&lt;&gt;"",COUNTIF('Do not contact'!$A$6:$A$505,G129)&gt;0)),1,0)</f>
        <v>0</v>
      </c>
    </row>
    <row r="130" customFormat="false" ht="27.75" hidden="false" customHeight="true" outlineLevel="0" collapsed="false">
      <c r="A130" s="38"/>
      <c r="B130" s="39"/>
      <c r="C130" s="38"/>
      <c r="D130" s="38"/>
      <c r="E130" s="38"/>
      <c r="F130" s="38"/>
      <c r="G130" s="38"/>
      <c r="H130" s="40"/>
      <c r="I130" s="38"/>
      <c r="J130" s="38"/>
      <c r="K130" s="38"/>
      <c r="L130" s="41"/>
      <c r="M130" s="42" t="str">
        <f aca="false">IF(C130="","",IF(W130=1,"NO – opted out. Do not email.",IF(I130="","Pick a contact type",IF(LEFT(I130,4)="Sole",IF(OR(LEFT(J130,7)="Consent",LEFT(J130,4)="Soft"),"Yes – add opt-out + privacy link",IF(LEFT(J130,8)="Contract","Reply about their enquiry only","NO – needs consent first (PECR)")),"Yes – add opt-out + privacy link"))))</f>
        <v/>
      </c>
      <c r="N130" s="38"/>
      <c r="O130" s="39"/>
      <c r="P130" s="38"/>
      <c r="Q130" s="39"/>
      <c r="R130" s="43" t="str">
        <f aca="false">IF(C130="","",IF(Q130&lt;&gt;"",Q130,IF(OR(W130=1,N130="Won",N130="Lost",N130="Parked"),"",IF(O130&lt;&gt;"",O130+Lists!$N$2,IF(B130&lt;&gt;"",B130+Lists!$N$2,"")))))</f>
        <v/>
      </c>
      <c r="S130" s="42" t="str">
        <f aca="true">IF(C130="","",IF(W130=1,"Grey – do not email",IF(N130="Won","Won",IF(OR(N130="Lost",N130="Parked"),"Closed",IF(R130="","Amber – add next action",IF(R130&lt;TODAY(),"Red – overdue",IF(R130=TODAY(),"Red – due today",IF(R130-TODAY()&lt;=Lists!$N$3,"Amber – due soon","Green – on track"))))))))</f>
        <v/>
      </c>
      <c r="T130" s="44"/>
      <c r="U130" s="38"/>
      <c r="V130" s="42" t="str">
        <f aca="true">IF(OR(C130="",W130=1,N130="Won",N130="Lost"),"",IF(ISNUMBER(R130),IF(R130&lt;=TODAY(),R130+ROW()/100000,""),""))</f>
        <v/>
      </c>
      <c r="W130" s="42" t="n">
        <f aca="false">IF(OR(L130="Y",AND(G130&lt;&gt;"",COUNTIF('Do not contact'!$A$6:$A$505,G130)&gt;0)),1,0)</f>
        <v>0</v>
      </c>
    </row>
    <row r="131" customFormat="false" ht="27.75" hidden="false" customHeight="true" outlineLevel="0" collapsed="false">
      <c r="A131" s="38"/>
      <c r="B131" s="39"/>
      <c r="C131" s="38"/>
      <c r="D131" s="38"/>
      <c r="E131" s="38"/>
      <c r="F131" s="38"/>
      <c r="G131" s="38"/>
      <c r="H131" s="40"/>
      <c r="I131" s="38"/>
      <c r="J131" s="38"/>
      <c r="K131" s="38"/>
      <c r="L131" s="41"/>
      <c r="M131" s="42" t="str">
        <f aca="false">IF(C131="","",IF(W131=1,"NO – opted out. Do not email.",IF(I131="","Pick a contact type",IF(LEFT(I131,4)="Sole",IF(OR(LEFT(J131,7)="Consent",LEFT(J131,4)="Soft"),"Yes – add opt-out + privacy link",IF(LEFT(J131,8)="Contract","Reply about their enquiry only","NO – needs consent first (PECR)")),"Yes – add opt-out + privacy link"))))</f>
        <v/>
      </c>
      <c r="N131" s="38"/>
      <c r="O131" s="39"/>
      <c r="P131" s="38"/>
      <c r="Q131" s="39"/>
      <c r="R131" s="43" t="str">
        <f aca="false">IF(C131="","",IF(Q131&lt;&gt;"",Q131,IF(OR(W131=1,N131="Won",N131="Lost",N131="Parked"),"",IF(O131&lt;&gt;"",O131+Lists!$N$2,IF(B131&lt;&gt;"",B131+Lists!$N$2,"")))))</f>
        <v/>
      </c>
      <c r="S131" s="42" t="str">
        <f aca="true">IF(C131="","",IF(W131=1,"Grey – do not email",IF(N131="Won","Won",IF(OR(N131="Lost",N131="Parked"),"Closed",IF(R131="","Amber – add next action",IF(R131&lt;TODAY(),"Red – overdue",IF(R131=TODAY(),"Red – due today",IF(R131-TODAY()&lt;=Lists!$N$3,"Amber – due soon","Green – on track"))))))))</f>
        <v/>
      </c>
      <c r="T131" s="44"/>
      <c r="U131" s="38"/>
      <c r="V131" s="42" t="str">
        <f aca="true">IF(OR(C131="",W131=1,N131="Won",N131="Lost"),"",IF(ISNUMBER(R131),IF(R131&lt;=TODAY(),R131+ROW()/100000,""),""))</f>
        <v/>
      </c>
      <c r="W131" s="42" t="n">
        <f aca="false">IF(OR(L131="Y",AND(G131&lt;&gt;"",COUNTIF('Do not contact'!$A$6:$A$505,G131)&gt;0)),1,0)</f>
        <v>0</v>
      </c>
    </row>
    <row r="132" customFormat="false" ht="27.75" hidden="false" customHeight="true" outlineLevel="0" collapsed="false">
      <c r="A132" s="38"/>
      <c r="B132" s="39"/>
      <c r="C132" s="38"/>
      <c r="D132" s="38"/>
      <c r="E132" s="38"/>
      <c r="F132" s="38"/>
      <c r="G132" s="38"/>
      <c r="H132" s="40"/>
      <c r="I132" s="38"/>
      <c r="J132" s="38"/>
      <c r="K132" s="38"/>
      <c r="L132" s="41"/>
      <c r="M132" s="42" t="str">
        <f aca="false">IF(C132="","",IF(W132=1,"NO – opted out. Do not email.",IF(I132="","Pick a contact type",IF(LEFT(I132,4)="Sole",IF(OR(LEFT(J132,7)="Consent",LEFT(J132,4)="Soft"),"Yes – add opt-out + privacy link",IF(LEFT(J132,8)="Contract","Reply about their enquiry only","NO – needs consent first (PECR)")),"Yes – add opt-out + privacy link"))))</f>
        <v/>
      </c>
      <c r="N132" s="38"/>
      <c r="O132" s="39"/>
      <c r="P132" s="38"/>
      <c r="Q132" s="39"/>
      <c r="R132" s="43" t="str">
        <f aca="false">IF(C132="","",IF(Q132&lt;&gt;"",Q132,IF(OR(W132=1,N132="Won",N132="Lost",N132="Parked"),"",IF(O132&lt;&gt;"",O132+Lists!$N$2,IF(B132&lt;&gt;"",B132+Lists!$N$2,"")))))</f>
        <v/>
      </c>
      <c r="S132" s="42" t="str">
        <f aca="true">IF(C132="","",IF(W132=1,"Grey – do not email",IF(N132="Won","Won",IF(OR(N132="Lost",N132="Parked"),"Closed",IF(R132="","Amber – add next action",IF(R132&lt;TODAY(),"Red – overdue",IF(R132=TODAY(),"Red – due today",IF(R132-TODAY()&lt;=Lists!$N$3,"Amber – due soon","Green – on track"))))))))</f>
        <v/>
      </c>
      <c r="T132" s="44"/>
      <c r="U132" s="38"/>
      <c r="V132" s="42" t="str">
        <f aca="true">IF(OR(C132="",W132=1,N132="Won",N132="Lost"),"",IF(ISNUMBER(R132),IF(R132&lt;=TODAY(),R132+ROW()/100000,""),""))</f>
        <v/>
      </c>
      <c r="W132" s="42" t="n">
        <f aca="false">IF(OR(L132="Y",AND(G132&lt;&gt;"",COUNTIF('Do not contact'!$A$6:$A$505,G132)&gt;0)),1,0)</f>
        <v>0</v>
      </c>
    </row>
    <row r="133" customFormat="false" ht="27.75" hidden="false" customHeight="true" outlineLevel="0" collapsed="false">
      <c r="A133" s="38"/>
      <c r="B133" s="39"/>
      <c r="C133" s="38"/>
      <c r="D133" s="38"/>
      <c r="E133" s="38"/>
      <c r="F133" s="38"/>
      <c r="G133" s="38"/>
      <c r="H133" s="40"/>
      <c r="I133" s="38"/>
      <c r="J133" s="38"/>
      <c r="K133" s="38"/>
      <c r="L133" s="41"/>
      <c r="M133" s="42" t="str">
        <f aca="false">IF(C133="","",IF(W133=1,"NO – opted out. Do not email.",IF(I133="","Pick a contact type",IF(LEFT(I133,4)="Sole",IF(OR(LEFT(J133,7)="Consent",LEFT(J133,4)="Soft"),"Yes – add opt-out + privacy link",IF(LEFT(J133,8)="Contract","Reply about their enquiry only","NO – needs consent first (PECR)")),"Yes – add opt-out + privacy link"))))</f>
        <v/>
      </c>
      <c r="N133" s="38"/>
      <c r="O133" s="39"/>
      <c r="P133" s="38"/>
      <c r="Q133" s="39"/>
      <c r="R133" s="43" t="str">
        <f aca="false">IF(C133="","",IF(Q133&lt;&gt;"",Q133,IF(OR(W133=1,N133="Won",N133="Lost",N133="Parked"),"",IF(O133&lt;&gt;"",O133+Lists!$N$2,IF(B133&lt;&gt;"",B133+Lists!$N$2,"")))))</f>
        <v/>
      </c>
      <c r="S133" s="42" t="str">
        <f aca="true">IF(C133="","",IF(W133=1,"Grey – do not email",IF(N133="Won","Won",IF(OR(N133="Lost",N133="Parked"),"Closed",IF(R133="","Amber – add next action",IF(R133&lt;TODAY(),"Red – overdue",IF(R133=TODAY(),"Red – due today",IF(R133-TODAY()&lt;=Lists!$N$3,"Amber – due soon","Green – on track"))))))))</f>
        <v/>
      </c>
      <c r="T133" s="44"/>
      <c r="U133" s="38"/>
      <c r="V133" s="42" t="str">
        <f aca="true">IF(OR(C133="",W133=1,N133="Won",N133="Lost"),"",IF(ISNUMBER(R133),IF(R133&lt;=TODAY(),R133+ROW()/100000,""),""))</f>
        <v/>
      </c>
      <c r="W133" s="42" t="n">
        <f aca="false">IF(OR(L133="Y",AND(G133&lt;&gt;"",COUNTIF('Do not contact'!$A$6:$A$505,G133)&gt;0)),1,0)</f>
        <v>0</v>
      </c>
    </row>
    <row r="134" customFormat="false" ht="27.75" hidden="false" customHeight="true" outlineLevel="0" collapsed="false">
      <c r="A134" s="38"/>
      <c r="B134" s="39"/>
      <c r="C134" s="38"/>
      <c r="D134" s="38"/>
      <c r="E134" s="38"/>
      <c r="F134" s="38"/>
      <c r="G134" s="38"/>
      <c r="H134" s="40"/>
      <c r="I134" s="38"/>
      <c r="J134" s="38"/>
      <c r="K134" s="38"/>
      <c r="L134" s="41"/>
      <c r="M134" s="42" t="str">
        <f aca="false">IF(C134="","",IF(W134=1,"NO – opted out. Do not email.",IF(I134="","Pick a contact type",IF(LEFT(I134,4)="Sole",IF(OR(LEFT(J134,7)="Consent",LEFT(J134,4)="Soft"),"Yes – add opt-out + privacy link",IF(LEFT(J134,8)="Contract","Reply about their enquiry only","NO – needs consent first (PECR)")),"Yes – add opt-out + privacy link"))))</f>
        <v/>
      </c>
      <c r="N134" s="38"/>
      <c r="O134" s="39"/>
      <c r="P134" s="38"/>
      <c r="Q134" s="39"/>
      <c r="R134" s="43" t="str">
        <f aca="false">IF(C134="","",IF(Q134&lt;&gt;"",Q134,IF(OR(W134=1,N134="Won",N134="Lost",N134="Parked"),"",IF(O134&lt;&gt;"",O134+Lists!$N$2,IF(B134&lt;&gt;"",B134+Lists!$N$2,"")))))</f>
        <v/>
      </c>
      <c r="S134" s="42" t="str">
        <f aca="true">IF(C134="","",IF(W134=1,"Grey – do not email",IF(N134="Won","Won",IF(OR(N134="Lost",N134="Parked"),"Closed",IF(R134="","Amber – add next action",IF(R134&lt;TODAY(),"Red – overdue",IF(R134=TODAY(),"Red – due today",IF(R134-TODAY()&lt;=Lists!$N$3,"Amber – due soon","Green – on track"))))))))</f>
        <v/>
      </c>
      <c r="T134" s="44"/>
      <c r="U134" s="38"/>
      <c r="V134" s="42" t="str">
        <f aca="true">IF(OR(C134="",W134=1,N134="Won",N134="Lost"),"",IF(ISNUMBER(R134),IF(R134&lt;=TODAY(),R134+ROW()/100000,""),""))</f>
        <v/>
      </c>
      <c r="W134" s="42" t="n">
        <f aca="false">IF(OR(L134="Y",AND(G134&lt;&gt;"",COUNTIF('Do not contact'!$A$6:$A$505,G134)&gt;0)),1,0)</f>
        <v>0</v>
      </c>
    </row>
    <row r="135" customFormat="false" ht="27.75" hidden="false" customHeight="true" outlineLevel="0" collapsed="false">
      <c r="A135" s="38"/>
      <c r="B135" s="39"/>
      <c r="C135" s="38"/>
      <c r="D135" s="38"/>
      <c r="E135" s="38"/>
      <c r="F135" s="38"/>
      <c r="G135" s="38"/>
      <c r="H135" s="40"/>
      <c r="I135" s="38"/>
      <c r="J135" s="38"/>
      <c r="K135" s="38"/>
      <c r="L135" s="41"/>
      <c r="M135" s="42" t="str">
        <f aca="false">IF(C135="","",IF(W135=1,"NO – opted out. Do not email.",IF(I135="","Pick a contact type",IF(LEFT(I135,4)="Sole",IF(OR(LEFT(J135,7)="Consent",LEFT(J135,4)="Soft"),"Yes – add opt-out + privacy link",IF(LEFT(J135,8)="Contract","Reply about their enquiry only","NO – needs consent first (PECR)")),"Yes – add opt-out + privacy link"))))</f>
        <v/>
      </c>
      <c r="N135" s="38"/>
      <c r="O135" s="39"/>
      <c r="P135" s="38"/>
      <c r="Q135" s="39"/>
      <c r="R135" s="43" t="str">
        <f aca="false">IF(C135="","",IF(Q135&lt;&gt;"",Q135,IF(OR(W135=1,N135="Won",N135="Lost",N135="Parked"),"",IF(O135&lt;&gt;"",O135+Lists!$N$2,IF(B135&lt;&gt;"",B135+Lists!$N$2,"")))))</f>
        <v/>
      </c>
      <c r="S135" s="42" t="str">
        <f aca="true">IF(C135="","",IF(W135=1,"Grey – do not email",IF(N135="Won","Won",IF(OR(N135="Lost",N135="Parked"),"Closed",IF(R135="","Amber – add next action",IF(R135&lt;TODAY(),"Red – overdue",IF(R135=TODAY(),"Red – due today",IF(R135-TODAY()&lt;=Lists!$N$3,"Amber – due soon","Green – on track"))))))))</f>
        <v/>
      </c>
      <c r="T135" s="44"/>
      <c r="U135" s="38"/>
      <c r="V135" s="42" t="str">
        <f aca="true">IF(OR(C135="",W135=1,N135="Won",N135="Lost"),"",IF(ISNUMBER(R135),IF(R135&lt;=TODAY(),R135+ROW()/100000,""),""))</f>
        <v/>
      </c>
      <c r="W135" s="42" t="n">
        <f aca="false">IF(OR(L135="Y",AND(G135&lt;&gt;"",COUNTIF('Do not contact'!$A$6:$A$505,G135)&gt;0)),1,0)</f>
        <v>0</v>
      </c>
    </row>
    <row r="136" customFormat="false" ht="27.75" hidden="false" customHeight="true" outlineLevel="0" collapsed="false">
      <c r="A136" s="38"/>
      <c r="B136" s="39"/>
      <c r="C136" s="38"/>
      <c r="D136" s="38"/>
      <c r="E136" s="38"/>
      <c r="F136" s="38"/>
      <c r="G136" s="38"/>
      <c r="H136" s="40"/>
      <c r="I136" s="38"/>
      <c r="J136" s="38"/>
      <c r="K136" s="38"/>
      <c r="L136" s="41"/>
      <c r="M136" s="42" t="str">
        <f aca="false">IF(C136="","",IF(W136=1,"NO – opted out. Do not email.",IF(I136="","Pick a contact type",IF(LEFT(I136,4)="Sole",IF(OR(LEFT(J136,7)="Consent",LEFT(J136,4)="Soft"),"Yes – add opt-out + privacy link",IF(LEFT(J136,8)="Contract","Reply about their enquiry only","NO – needs consent first (PECR)")),"Yes – add opt-out + privacy link"))))</f>
        <v/>
      </c>
      <c r="N136" s="38"/>
      <c r="O136" s="39"/>
      <c r="P136" s="38"/>
      <c r="Q136" s="39"/>
      <c r="R136" s="43" t="str">
        <f aca="false">IF(C136="","",IF(Q136&lt;&gt;"",Q136,IF(OR(W136=1,N136="Won",N136="Lost",N136="Parked"),"",IF(O136&lt;&gt;"",O136+Lists!$N$2,IF(B136&lt;&gt;"",B136+Lists!$N$2,"")))))</f>
        <v/>
      </c>
      <c r="S136" s="42" t="str">
        <f aca="true">IF(C136="","",IF(W136=1,"Grey – do not email",IF(N136="Won","Won",IF(OR(N136="Lost",N136="Parked"),"Closed",IF(R136="","Amber – add next action",IF(R136&lt;TODAY(),"Red – overdue",IF(R136=TODAY(),"Red – due today",IF(R136-TODAY()&lt;=Lists!$N$3,"Amber – due soon","Green – on track"))))))))</f>
        <v/>
      </c>
      <c r="T136" s="44"/>
      <c r="U136" s="38"/>
      <c r="V136" s="42" t="str">
        <f aca="true">IF(OR(C136="",W136=1,N136="Won",N136="Lost"),"",IF(ISNUMBER(R136),IF(R136&lt;=TODAY(),R136+ROW()/100000,""),""))</f>
        <v/>
      </c>
      <c r="W136" s="42" t="n">
        <f aca="false">IF(OR(L136="Y",AND(G136&lt;&gt;"",COUNTIF('Do not contact'!$A$6:$A$505,G136)&gt;0)),1,0)</f>
        <v>0</v>
      </c>
    </row>
    <row r="137" customFormat="false" ht="27.75" hidden="false" customHeight="true" outlineLevel="0" collapsed="false">
      <c r="A137" s="38"/>
      <c r="B137" s="39"/>
      <c r="C137" s="38"/>
      <c r="D137" s="38"/>
      <c r="E137" s="38"/>
      <c r="F137" s="38"/>
      <c r="G137" s="38"/>
      <c r="H137" s="40"/>
      <c r="I137" s="38"/>
      <c r="J137" s="38"/>
      <c r="K137" s="38"/>
      <c r="L137" s="41"/>
      <c r="M137" s="42" t="str">
        <f aca="false">IF(C137="","",IF(W137=1,"NO – opted out. Do not email.",IF(I137="","Pick a contact type",IF(LEFT(I137,4)="Sole",IF(OR(LEFT(J137,7)="Consent",LEFT(J137,4)="Soft"),"Yes – add opt-out + privacy link",IF(LEFT(J137,8)="Contract","Reply about their enquiry only","NO – needs consent first (PECR)")),"Yes – add opt-out + privacy link"))))</f>
        <v/>
      </c>
      <c r="N137" s="38"/>
      <c r="O137" s="39"/>
      <c r="P137" s="38"/>
      <c r="Q137" s="39"/>
      <c r="R137" s="43" t="str">
        <f aca="false">IF(C137="","",IF(Q137&lt;&gt;"",Q137,IF(OR(W137=1,N137="Won",N137="Lost",N137="Parked"),"",IF(O137&lt;&gt;"",O137+Lists!$N$2,IF(B137&lt;&gt;"",B137+Lists!$N$2,"")))))</f>
        <v/>
      </c>
      <c r="S137" s="42" t="str">
        <f aca="true">IF(C137="","",IF(W137=1,"Grey – do not email",IF(N137="Won","Won",IF(OR(N137="Lost",N137="Parked"),"Closed",IF(R137="","Amber – add next action",IF(R137&lt;TODAY(),"Red – overdue",IF(R137=TODAY(),"Red – due today",IF(R137-TODAY()&lt;=Lists!$N$3,"Amber – due soon","Green – on track"))))))))</f>
        <v/>
      </c>
      <c r="T137" s="44"/>
      <c r="U137" s="38"/>
      <c r="V137" s="42" t="str">
        <f aca="true">IF(OR(C137="",W137=1,N137="Won",N137="Lost"),"",IF(ISNUMBER(R137),IF(R137&lt;=TODAY(),R137+ROW()/100000,""),""))</f>
        <v/>
      </c>
      <c r="W137" s="42" t="n">
        <f aca="false">IF(OR(L137="Y",AND(G137&lt;&gt;"",COUNTIF('Do not contact'!$A$6:$A$505,G137)&gt;0)),1,0)</f>
        <v>0</v>
      </c>
    </row>
    <row r="138" customFormat="false" ht="27.75" hidden="false" customHeight="true" outlineLevel="0" collapsed="false">
      <c r="A138" s="38"/>
      <c r="B138" s="39"/>
      <c r="C138" s="38"/>
      <c r="D138" s="38"/>
      <c r="E138" s="38"/>
      <c r="F138" s="38"/>
      <c r="G138" s="38"/>
      <c r="H138" s="40"/>
      <c r="I138" s="38"/>
      <c r="J138" s="38"/>
      <c r="K138" s="38"/>
      <c r="L138" s="41"/>
      <c r="M138" s="42" t="str">
        <f aca="false">IF(C138="","",IF(W138=1,"NO – opted out. Do not email.",IF(I138="","Pick a contact type",IF(LEFT(I138,4)="Sole",IF(OR(LEFT(J138,7)="Consent",LEFT(J138,4)="Soft"),"Yes – add opt-out + privacy link",IF(LEFT(J138,8)="Contract","Reply about their enquiry only","NO – needs consent first (PECR)")),"Yes – add opt-out + privacy link"))))</f>
        <v/>
      </c>
      <c r="N138" s="38"/>
      <c r="O138" s="39"/>
      <c r="P138" s="38"/>
      <c r="Q138" s="39"/>
      <c r="R138" s="43" t="str">
        <f aca="false">IF(C138="","",IF(Q138&lt;&gt;"",Q138,IF(OR(W138=1,N138="Won",N138="Lost",N138="Parked"),"",IF(O138&lt;&gt;"",O138+Lists!$N$2,IF(B138&lt;&gt;"",B138+Lists!$N$2,"")))))</f>
        <v/>
      </c>
      <c r="S138" s="42" t="str">
        <f aca="true">IF(C138="","",IF(W138=1,"Grey – do not email",IF(N138="Won","Won",IF(OR(N138="Lost",N138="Parked"),"Closed",IF(R138="","Amber – add next action",IF(R138&lt;TODAY(),"Red – overdue",IF(R138=TODAY(),"Red – due today",IF(R138-TODAY()&lt;=Lists!$N$3,"Amber – due soon","Green – on track"))))))))</f>
        <v/>
      </c>
      <c r="T138" s="44"/>
      <c r="U138" s="38"/>
      <c r="V138" s="42" t="str">
        <f aca="true">IF(OR(C138="",W138=1,N138="Won",N138="Lost"),"",IF(ISNUMBER(R138),IF(R138&lt;=TODAY(),R138+ROW()/100000,""),""))</f>
        <v/>
      </c>
      <c r="W138" s="42" t="n">
        <f aca="false">IF(OR(L138="Y",AND(G138&lt;&gt;"",COUNTIF('Do not contact'!$A$6:$A$505,G138)&gt;0)),1,0)</f>
        <v>0</v>
      </c>
    </row>
    <row r="139" customFormat="false" ht="27.75" hidden="false" customHeight="true" outlineLevel="0" collapsed="false">
      <c r="A139" s="38"/>
      <c r="B139" s="39"/>
      <c r="C139" s="38"/>
      <c r="D139" s="38"/>
      <c r="E139" s="38"/>
      <c r="F139" s="38"/>
      <c r="G139" s="38"/>
      <c r="H139" s="40"/>
      <c r="I139" s="38"/>
      <c r="J139" s="38"/>
      <c r="K139" s="38"/>
      <c r="L139" s="41"/>
      <c r="M139" s="42" t="str">
        <f aca="false">IF(C139="","",IF(W139=1,"NO – opted out. Do not email.",IF(I139="","Pick a contact type",IF(LEFT(I139,4)="Sole",IF(OR(LEFT(J139,7)="Consent",LEFT(J139,4)="Soft"),"Yes – add opt-out + privacy link",IF(LEFT(J139,8)="Contract","Reply about their enquiry only","NO – needs consent first (PECR)")),"Yes – add opt-out + privacy link"))))</f>
        <v/>
      </c>
      <c r="N139" s="38"/>
      <c r="O139" s="39"/>
      <c r="P139" s="38"/>
      <c r="Q139" s="39"/>
      <c r="R139" s="43" t="str">
        <f aca="false">IF(C139="","",IF(Q139&lt;&gt;"",Q139,IF(OR(W139=1,N139="Won",N139="Lost",N139="Parked"),"",IF(O139&lt;&gt;"",O139+Lists!$N$2,IF(B139&lt;&gt;"",B139+Lists!$N$2,"")))))</f>
        <v/>
      </c>
      <c r="S139" s="42" t="str">
        <f aca="true">IF(C139="","",IF(W139=1,"Grey – do not email",IF(N139="Won","Won",IF(OR(N139="Lost",N139="Parked"),"Closed",IF(R139="","Amber – add next action",IF(R139&lt;TODAY(),"Red – overdue",IF(R139=TODAY(),"Red – due today",IF(R139-TODAY()&lt;=Lists!$N$3,"Amber – due soon","Green – on track"))))))))</f>
        <v/>
      </c>
      <c r="T139" s="44"/>
      <c r="U139" s="38"/>
      <c r="V139" s="42" t="str">
        <f aca="true">IF(OR(C139="",W139=1,N139="Won",N139="Lost"),"",IF(ISNUMBER(R139),IF(R139&lt;=TODAY(),R139+ROW()/100000,""),""))</f>
        <v/>
      </c>
      <c r="W139" s="42" t="n">
        <f aca="false">IF(OR(L139="Y",AND(G139&lt;&gt;"",COUNTIF('Do not contact'!$A$6:$A$505,G139)&gt;0)),1,0)</f>
        <v>0</v>
      </c>
    </row>
    <row r="140" customFormat="false" ht="27.75" hidden="false" customHeight="true" outlineLevel="0" collapsed="false">
      <c r="A140" s="38"/>
      <c r="B140" s="39"/>
      <c r="C140" s="38"/>
      <c r="D140" s="38"/>
      <c r="E140" s="38"/>
      <c r="F140" s="38"/>
      <c r="G140" s="38"/>
      <c r="H140" s="40"/>
      <c r="I140" s="38"/>
      <c r="J140" s="38"/>
      <c r="K140" s="38"/>
      <c r="L140" s="41"/>
      <c r="M140" s="42" t="str">
        <f aca="false">IF(C140="","",IF(W140=1,"NO – opted out. Do not email.",IF(I140="","Pick a contact type",IF(LEFT(I140,4)="Sole",IF(OR(LEFT(J140,7)="Consent",LEFT(J140,4)="Soft"),"Yes – add opt-out + privacy link",IF(LEFT(J140,8)="Contract","Reply about their enquiry only","NO – needs consent first (PECR)")),"Yes – add opt-out + privacy link"))))</f>
        <v/>
      </c>
      <c r="N140" s="38"/>
      <c r="O140" s="39"/>
      <c r="P140" s="38"/>
      <c r="Q140" s="39"/>
      <c r="R140" s="43" t="str">
        <f aca="false">IF(C140="","",IF(Q140&lt;&gt;"",Q140,IF(OR(W140=1,N140="Won",N140="Lost",N140="Parked"),"",IF(O140&lt;&gt;"",O140+Lists!$N$2,IF(B140&lt;&gt;"",B140+Lists!$N$2,"")))))</f>
        <v/>
      </c>
      <c r="S140" s="42" t="str">
        <f aca="true">IF(C140="","",IF(W140=1,"Grey – do not email",IF(N140="Won","Won",IF(OR(N140="Lost",N140="Parked"),"Closed",IF(R140="","Amber – add next action",IF(R140&lt;TODAY(),"Red – overdue",IF(R140=TODAY(),"Red – due today",IF(R140-TODAY()&lt;=Lists!$N$3,"Amber – due soon","Green – on track"))))))))</f>
        <v/>
      </c>
      <c r="T140" s="44"/>
      <c r="U140" s="38"/>
      <c r="V140" s="42" t="str">
        <f aca="true">IF(OR(C140="",W140=1,N140="Won",N140="Lost"),"",IF(ISNUMBER(R140),IF(R140&lt;=TODAY(),R140+ROW()/100000,""),""))</f>
        <v/>
      </c>
      <c r="W140" s="42" t="n">
        <f aca="false">IF(OR(L140="Y",AND(G140&lt;&gt;"",COUNTIF('Do not contact'!$A$6:$A$505,G140)&gt;0)),1,0)</f>
        <v>0</v>
      </c>
    </row>
    <row r="141" customFormat="false" ht="27.75" hidden="false" customHeight="true" outlineLevel="0" collapsed="false">
      <c r="A141" s="38"/>
      <c r="B141" s="39"/>
      <c r="C141" s="38"/>
      <c r="D141" s="38"/>
      <c r="E141" s="38"/>
      <c r="F141" s="38"/>
      <c r="G141" s="38"/>
      <c r="H141" s="40"/>
      <c r="I141" s="38"/>
      <c r="J141" s="38"/>
      <c r="K141" s="38"/>
      <c r="L141" s="41"/>
      <c r="M141" s="42" t="str">
        <f aca="false">IF(C141="","",IF(W141=1,"NO – opted out. Do not email.",IF(I141="","Pick a contact type",IF(LEFT(I141,4)="Sole",IF(OR(LEFT(J141,7)="Consent",LEFT(J141,4)="Soft"),"Yes – add opt-out + privacy link",IF(LEFT(J141,8)="Contract","Reply about their enquiry only","NO – needs consent first (PECR)")),"Yes – add opt-out + privacy link"))))</f>
        <v/>
      </c>
      <c r="N141" s="38"/>
      <c r="O141" s="39"/>
      <c r="P141" s="38"/>
      <c r="Q141" s="39"/>
      <c r="R141" s="43" t="str">
        <f aca="false">IF(C141="","",IF(Q141&lt;&gt;"",Q141,IF(OR(W141=1,N141="Won",N141="Lost",N141="Parked"),"",IF(O141&lt;&gt;"",O141+Lists!$N$2,IF(B141&lt;&gt;"",B141+Lists!$N$2,"")))))</f>
        <v/>
      </c>
      <c r="S141" s="42" t="str">
        <f aca="true">IF(C141="","",IF(W141=1,"Grey – do not email",IF(N141="Won","Won",IF(OR(N141="Lost",N141="Parked"),"Closed",IF(R141="","Amber – add next action",IF(R141&lt;TODAY(),"Red – overdue",IF(R141=TODAY(),"Red – due today",IF(R141-TODAY()&lt;=Lists!$N$3,"Amber – due soon","Green – on track"))))))))</f>
        <v/>
      </c>
      <c r="T141" s="44"/>
      <c r="U141" s="38"/>
      <c r="V141" s="42" t="str">
        <f aca="true">IF(OR(C141="",W141=1,N141="Won",N141="Lost"),"",IF(ISNUMBER(R141),IF(R141&lt;=TODAY(),R141+ROW()/100000,""),""))</f>
        <v/>
      </c>
      <c r="W141" s="42" t="n">
        <f aca="false">IF(OR(L141="Y",AND(G141&lt;&gt;"",COUNTIF('Do not contact'!$A$6:$A$505,G141)&gt;0)),1,0)</f>
        <v>0</v>
      </c>
    </row>
    <row r="142" customFormat="false" ht="27.75" hidden="false" customHeight="true" outlineLevel="0" collapsed="false">
      <c r="A142" s="38"/>
      <c r="B142" s="39"/>
      <c r="C142" s="38"/>
      <c r="D142" s="38"/>
      <c r="E142" s="38"/>
      <c r="F142" s="38"/>
      <c r="G142" s="38"/>
      <c r="H142" s="40"/>
      <c r="I142" s="38"/>
      <c r="J142" s="38"/>
      <c r="K142" s="38"/>
      <c r="L142" s="41"/>
      <c r="M142" s="42" t="str">
        <f aca="false">IF(C142="","",IF(W142=1,"NO – opted out. Do not email.",IF(I142="","Pick a contact type",IF(LEFT(I142,4)="Sole",IF(OR(LEFT(J142,7)="Consent",LEFT(J142,4)="Soft"),"Yes – add opt-out + privacy link",IF(LEFT(J142,8)="Contract","Reply about their enquiry only","NO – needs consent first (PECR)")),"Yes – add opt-out + privacy link"))))</f>
        <v/>
      </c>
      <c r="N142" s="38"/>
      <c r="O142" s="39"/>
      <c r="P142" s="38"/>
      <c r="Q142" s="39"/>
      <c r="R142" s="43" t="str">
        <f aca="false">IF(C142="","",IF(Q142&lt;&gt;"",Q142,IF(OR(W142=1,N142="Won",N142="Lost",N142="Parked"),"",IF(O142&lt;&gt;"",O142+Lists!$N$2,IF(B142&lt;&gt;"",B142+Lists!$N$2,"")))))</f>
        <v/>
      </c>
      <c r="S142" s="42" t="str">
        <f aca="true">IF(C142="","",IF(W142=1,"Grey – do not email",IF(N142="Won","Won",IF(OR(N142="Lost",N142="Parked"),"Closed",IF(R142="","Amber – add next action",IF(R142&lt;TODAY(),"Red – overdue",IF(R142=TODAY(),"Red – due today",IF(R142-TODAY()&lt;=Lists!$N$3,"Amber – due soon","Green – on track"))))))))</f>
        <v/>
      </c>
      <c r="T142" s="44"/>
      <c r="U142" s="38"/>
      <c r="V142" s="42" t="str">
        <f aca="true">IF(OR(C142="",W142=1,N142="Won",N142="Lost"),"",IF(ISNUMBER(R142),IF(R142&lt;=TODAY(),R142+ROW()/100000,""),""))</f>
        <v/>
      </c>
      <c r="W142" s="42" t="n">
        <f aca="false">IF(OR(L142="Y",AND(G142&lt;&gt;"",COUNTIF('Do not contact'!$A$6:$A$505,G142)&gt;0)),1,0)</f>
        <v>0</v>
      </c>
    </row>
    <row r="143" customFormat="false" ht="27.75" hidden="false" customHeight="true" outlineLevel="0" collapsed="false">
      <c r="A143" s="38"/>
      <c r="B143" s="39"/>
      <c r="C143" s="38"/>
      <c r="D143" s="38"/>
      <c r="E143" s="38"/>
      <c r="F143" s="38"/>
      <c r="G143" s="38"/>
      <c r="H143" s="40"/>
      <c r="I143" s="38"/>
      <c r="J143" s="38"/>
      <c r="K143" s="38"/>
      <c r="L143" s="41"/>
      <c r="M143" s="42" t="str">
        <f aca="false">IF(C143="","",IF(W143=1,"NO – opted out. Do not email.",IF(I143="","Pick a contact type",IF(LEFT(I143,4)="Sole",IF(OR(LEFT(J143,7)="Consent",LEFT(J143,4)="Soft"),"Yes – add opt-out + privacy link",IF(LEFT(J143,8)="Contract","Reply about their enquiry only","NO – needs consent first (PECR)")),"Yes – add opt-out + privacy link"))))</f>
        <v/>
      </c>
      <c r="N143" s="38"/>
      <c r="O143" s="39"/>
      <c r="P143" s="38"/>
      <c r="Q143" s="39"/>
      <c r="R143" s="43" t="str">
        <f aca="false">IF(C143="","",IF(Q143&lt;&gt;"",Q143,IF(OR(W143=1,N143="Won",N143="Lost",N143="Parked"),"",IF(O143&lt;&gt;"",O143+Lists!$N$2,IF(B143&lt;&gt;"",B143+Lists!$N$2,"")))))</f>
        <v/>
      </c>
      <c r="S143" s="42" t="str">
        <f aca="true">IF(C143="","",IF(W143=1,"Grey – do not email",IF(N143="Won","Won",IF(OR(N143="Lost",N143="Parked"),"Closed",IF(R143="","Amber – add next action",IF(R143&lt;TODAY(),"Red – overdue",IF(R143=TODAY(),"Red – due today",IF(R143-TODAY()&lt;=Lists!$N$3,"Amber – due soon","Green – on track"))))))))</f>
        <v/>
      </c>
      <c r="T143" s="44"/>
      <c r="U143" s="38"/>
      <c r="V143" s="42" t="str">
        <f aca="true">IF(OR(C143="",W143=1,N143="Won",N143="Lost"),"",IF(ISNUMBER(R143),IF(R143&lt;=TODAY(),R143+ROW()/100000,""),""))</f>
        <v/>
      </c>
      <c r="W143" s="42" t="n">
        <f aca="false">IF(OR(L143="Y",AND(G143&lt;&gt;"",COUNTIF('Do not contact'!$A$6:$A$505,G143)&gt;0)),1,0)</f>
        <v>0</v>
      </c>
    </row>
    <row r="144" customFormat="false" ht="27.75" hidden="false" customHeight="true" outlineLevel="0" collapsed="false">
      <c r="A144" s="38"/>
      <c r="B144" s="39"/>
      <c r="C144" s="38"/>
      <c r="D144" s="38"/>
      <c r="E144" s="38"/>
      <c r="F144" s="38"/>
      <c r="G144" s="38"/>
      <c r="H144" s="40"/>
      <c r="I144" s="38"/>
      <c r="J144" s="38"/>
      <c r="K144" s="38"/>
      <c r="L144" s="41"/>
      <c r="M144" s="42" t="str">
        <f aca="false">IF(C144="","",IF(W144=1,"NO – opted out. Do not email.",IF(I144="","Pick a contact type",IF(LEFT(I144,4)="Sole",IF(OR(LEFT(J144,7)="Consent",LEFT(J144,4)="Soft"),"Yes – add opt-out + privacy link",IF(LEFT(J144,8)="Contract","Reply about their enquiry only","NO – needs consent first (PECR)")),"Yes – add opt-out + privacy link"))))</f>
        <v/>
      </c>
      <c r="N144" s="38"/>
      <c r="O144" s="39"/>
      <c r="P144" s="38"/>
      <c r="Q144" s="39"/>
      <c r="R144" s="43" t="str">
        <f aca="false">IF(C144="","",IF(Q144&lt;&gt;"",Q144,IF(OR(W144=1,N144="Won",N144="Lost",N144="Parked"),"",IF(O144&lt;&gt;"",O144+Lists!$N$2,IF(B144&lt;&gt;"",B144+Lists!$N$2,"")))))</f>
        <v/>
      </c>
      <c r="S144" s="42" t="str">
        <f aca="true">IF(C144="","",IF(W144=1,"Grey – do not email",IF(N144="Won","Won",IF(OR(N144="Lost",N144="Parked"),"Closed",IF(R144="","Amber – add next action",IF(R144&lt;TODAY(),"Red – overdue",IF(R144=TODAY(),"Red – due today",IF(R144-TODAY()&lt;=Lists!$N$3,"Amber – due soon","Green – on track"))))))))</f>
        <v/>
      </c>
      <c r="T144" s="44"/>
      <c r="U144" s="38"/>
      <c r="V144" s="42" t="str">
        <f aca="true">IF(OR(C144="",W144=1,N144="Won",N144="Lost"),"",IF(ISNUMBER(R144),IF(R144&lt;=TODAY(),R144+ROW()/100000,""),""))</f>
        <v/>
      </c>
      <c r="W144" s="42" t="n">
        <f aca="false">IF(OR(L144="Y",AND(G144&lt;&gt;"",COUNTIF('Do not contact'!$A$6:$A$505,G144)&gt;0)),1,0)</f>
        <v>0</v>
      </c>
    </row>
    <row r="145" customFormat="false" ht="27.75" hidden="false" customHeight="true" outlineLevel="0" collapsed="false">
      <c r="A145" s="38"/>
      <c r="B145" s="39"/>
      <c r="C145" s="38"/>
      <c r="D145" s="38"/>
      <c r="E145" s="38"/>
      <c r="F145" s="38"/>
      <c r="G145" s="38"/>
      <c r="H145" s="40"/>
      <c r="I145" s="38"/>
      <c r="J145" s="38"/>
      <c r="K145" s="38"/>
      <c r="L145" s="41"/>
      <c r="M145" s="42" t="str">
        <f aca="false">IF(C145="","",IF(W145=1,"NO – opted out. Do not email.",IF(I145="","Pick a contact type",IF(LEFT(I145,4)="Sole",IF(OR(LEFT(J145,7)="Consent",LEFT(J145,4)="Soft"),"Yes – add opt-out + privacy link",IF(LEFT(J145,8)="Contract","Reply about their enquiry only","NO – needs consent first (PECR)")),"Yes – add opt-out + privacy link"))))</f>
        <v/>
      </c>
      <c r="N145" s="38"/>
      <c r="O145" s="39"/>
      <c r="P145" s="38"/>
      <c r="Q145" s="39"/>
      <c r="R145" s="43" t="str">
        <f aca="false">IF(C145="","",IF(Q145&lt;&gt;"",Q145,IF(OR(W145=1,N145="Won",N145="Lost",N145="Parked"),"",IF(O145&lt;&gt;"",O145+Lists!$N$2,IF(B145&lt;&gt;"",B145+Lists!$N$2,"")))))</f>
        <v/>
      </c>
      <c r="S145" s="42" t="str">
        <f aca="true">IF(C145="","",IF(W145=1,"Grey – do not email",IF(N145="Won","Won",IF(OR(N145="Lost",N145="Parked"),"Closed",IF(R145="","Amber – add next action",IF(R145&lt;TODAY(),"Red – overdue",IF(R145=TODAY(),"Red – due today",IF(R145-TODAY()&lt;=Lists!$N$3,"Amber – due soon","Green – on track"))))))))</f>
        <v/>
      </c>
      <c r="T145" s="44"/>
      <c r="U145" s="38"/>
      <c r="V145" s="42" t="str">
        <f aca="true">IF(OR(C145="",W145=1,N145="Won",N145="Lost"),"",IF(ISNUMBER(R145),IF(R145&lt;=TODAY(),R145+ROW()/100000,""),""))</f>
        <v/>
      </c>
      <c r="W145" s="42" t="n">
        <f aca="false">IF(OR(L145="Y",AND(G145&lt;&gt;"",COUNTIF('Do not contact'!$A$6:$A$505,G145)&gt;0)),1,0)</f>
        <v>0</v>
      </c>
    </row>
    <row r="146" customFormat="false" ht="27.75" hidden="false" customHeight="true" outlineLevel="0" collapsed="false">
      <c r="A146" s="38"/>
      <c r="B146" s="39"/>
      <c r="C146" s="38"/>
      <c r="D146" s="38"/>
      <c r="E146" s="38"/>
      <c r="F146" s="38"/>
      <c r="G146" s="38"/>
      <c r="H146" s="40"/>
      <c r="I146" s="38"/>
      <c r="J146" s="38"/>
      <c r="K146" s="38"/>
      <c r="L146" s="41"/>
      <c r="M146" s="42" t="str">
        <f aca="false">IF(C146="","",IF(W146=1,"NO – opted out. Do not email.",IF(I146="","Pick a contact type",IF(LEFT(I146,4)="Sole",IF(OR(LEFT(J146,7)="Consent",LEFT(J146,4)="Soft"),"Yes – add opt-out + privacy link",IF(LEFT(J146,8)="Contract","Reply about their enquiry only","NO – needs consent first (PECR)")),"Yes – add opt-out + privacy link"))))</f>
        <v/>
      </c>
      <c r="N146" s="38"/>
      <c r="O146" s="39"/>
      <c r="P146" s="38"/>
      <c r="Q146" s="39"/>
      <c r="R146" s="43" t="str">
        <f aca="false">IF(C146="","",IF(Q146&lt;&gt;"",Q146,IF(OR(W146=1,N146="Won",N146="Lost",N146="Parked"),"",IF(O146&lt;&gt;"",O146+Lists!$N$2,IF(B146&lt;&gt;"",B146+Lists!$N$2,"")))))</f>
        <v/>
      </c>
      <c r="S146" s="42" t="str">
        <f aca="true">IF(C146="","",IF(W146=1,"Grey – do not email",IF(N146="Won","Won",IF(OR(N146="Lost",N146="Parked"),"Closed",IF(R146="","Amber – add next action",IF(R146&lt;TODAY(),"Red – overdue",IF(R146=TODAY(),"Red – due today",IF(R146-TODAY()&lt;=Lists!$N$3,"Amber – due soon","Green – on track"))))))))</f>
        <v/>
      </c>
      <c r="T146" s="44"/>
      <c r="U146" s="38"/>
      <c r="V146" s="42" t="str">
        <f aca="true">IF(OR(C146="",W146=1,N146="Won",N146="Lost"),"",IF(ISNUMBER(R146),IF(R146&lt;=TODAY(),R146+ROW()/100000,""),""))</f>
        <v/>
      </c>
      <c r="W146" s="42" t="n">
        <f aca="false">IF(OR(L146="Y",AND(G146&lt;&gt;"",COUNTIF('Do not contact'!$A$6:$A$505,G146)&gt;0)),1,0)</f>
        <v>0</v>
      </c>
    </row>
    <row r="147" customFormat="false" ht="27.75" hidden="false" customHeight="true" outlineLevel="0" collapsed="false">
      <c r="A147" s="38"/>
      <c r="B147" s="39"/>
      <c r="C147" s="38"/>
      <c r="D147" s="38"/>
      <c r="E147" s="38"/>
      <c r="F147" s="38"/>
      <c r="G147" s="38"/>
      <c r="H147" s="40"/>
      <c r="I147" s="38"/>
      <c r="J147" s="38"/>
      <c r="K147" s="38"/>
      <c r="L147" s="41"/>
      <c r="M147" s="42" t="str">
        <f aca="false">IF(C147="","",IF(W147=1,"NO – opted out. Do not email.",IF(I147="","Pick a contact type",IF(LEFT(I147,4)="Sole",IF(OR(LEFT(J147,7)="Consent",LEFT(J147,4)="Soft"),"Yes – add opt-out + privacy link",IF(LEFT(J147,8)="Contract","Reply about their enquiry only","NO – needs consent first (PECR)")),"Yes – add opt-out + privacy link"))))</f>
        <v/>
      </c>
      <c r="N147" s="38"/>
      <c r="O147" s="39"/>
      <c r="P147" s="38"/>
      <c r="Q147" s="39"/>
      <c r="R147" s="43" t="str">
        <f aca="false">IF(C147="","",IF(Q147&lt;&gt;"",Q147,IF(OR(W147=1,N147="Won",N147="Lost",N147="Parked"),"",IF(O147&lt;&gt;"",O147+Lists!$N$2,IF(B147&lt;&gt;"",B147+Lists!$N$2,"")))))</f>
        <v/>
      </c>
      <c r="S147" s="42" t="str">
        <f aca="true">IF(C147="","",IF(W147=1,"Grey – do not email",IF(N147="Won","Won",IF(OR(N147="Lost",N147="Parked"),"Closed",IF(R147="","Amber – add next action",IF(R147&lt;TODAY(),"Red – overdue",IF(R147=TODAY(),"Red – due today",IF(R147-TODAY()&lt;=Lists!$N$3,"Amber – due soon","Green – on track"))))))))</f>
        <v/>
      </c>
      <c r="T147" s="44"/>
      <c r="U147" s="38"/>
      <c r="V147" s="42" t="str">
        <f aca="true">IF(OR(C147="",W147=1,N147="Won",N147="Lost"),"",IF(ISNUMBER(R147),IF(R147&lt;=TODAY(),R147+ROW()/100000,""),""))</f>
        <v/>
      </c>
      <c r="W147" s="42" t="n">
        <f aca="false">IF(OR(L147="Y",AND(G147&lt;&gt;"",COUNTIF('Do not contact'!$A$6:$A$505,G147)&gt;0)),1,0)</f>
        <v>0</v>
      </c>
    </row>
    <row r="148" customFormat="false" ht="27.75" hidden="false" customHeight="true" outlineLevel="0" collapsed="false">
      <c r="A148" s="38"/>
      <c r="B148" s="39"/>
      <c r="C148" s="38"/>
      <c r="D148" s="38"/>
      <c r="E148" s="38"/>
      <c r="F148" s="38"/>
      <c r="G148" s="38"/>
      <c r="H148" s="40"/>
      <c r="I148" s="38"/>
      <c r="J148" s="38"/>
      <c r="K148" s="38"/>
      <c r="L148" s="41"/>
      <c r="M148" s="42" t="str">
        <f aca="false">IF(C148="","",IF(W148=1,"NO – opted out. Do not email.",IF(I148="","Pick a contact type",IF(LEFT(I148,4)="Sole",IF(OR(LEFT(J148,7)="Consent",LEFT(J148,4)="Soft"),"Yes – add opt-out + privacy link",IF(LEFT(J148,8)="Contract","Reply about their enquiry only","NO – needs consent first (PECR)")),"Yes – add opt-out + privacy link"))))</f>
        <v/>
      </c>
      <c r="N148" s="38"/>
      <c r="O148" s="39"/>
      <c r="P148" s="38"/>
      <c r="Q148" s="39"/>
      <c r="R148" s="43" t="str">
        <f aca="false">IF(C148="","",IF(Q148&lt;&gt;"",Q148,IF(OR(W148=1,N148="Won",N148="Lost",N148="Parked"),"",IF(O148&lt;&gt;"",O148+Lists!$N$2,IF(B148&lt;&gt;"",B148+Lists!$N$2,"")))))</f>
        <v/>
      </c>
      <c r="S148" s="42" t="str">
        <f aca="true">IF(C148="","",IF(W148=1,"Grey – do not email",IF(N148="Won","Won",IF(OR(N148="Lost",N148="Parked"),"Closed",IF(R148="","Amber – add next action",IF(R148&lt;TODAY(),"Red – overdue",IF(R148=TODAY(),"Red – due today",IF(R148-TODAY()&lt;=Lists!$N$3,"Amber – due soon","Green – on track"))))))))</f>
        <v/>
      </c>
      <c r="T148" s="44"/>
      <c r="U148" s="38"/>
      <c r="V148" s="42" t="str">
        <f aca="true">IF(OR(C148="",W148=1,N148="Won",N148="Lost"),"",IF(ISNUMBER(R148),IF(R148&lt;=TODAY(),R148+ROW()/100000,""),""))</f>
        <v/>
      </c>
      <c r="W148" s="42" t="n">
        <f aca="false">IF(OR(L148="Y",AND(G148&lt;&gt;"",COUNTIF('Do not contact'!$A$6:$A$505,G148)&gt;0)),1,0)</f>
        <v>0</v>
      </c>
    </row>
    <row r="149" customFormat="false" ht="27.75" hidden="false" customHeight="true" outlineLevel="0" collapsed="false">
      <c r="A149" s="38"/>
      <c r="B149" s="39"/>
      <c r="C149" s="38"/>
      <c r="D149" s="38"/>
      <c r="E149" s="38"/>
      <c r="F149" s="38"/>
      <c r="G149" s="38"/>
      <c r="H149" s="40"/>
      <c r="I149" s="38"/>
      <c r="J149" s="38"/>
      <c r="K149" s="38"/>
      <c r="L149" s="41"/>
      <c r="M149" s="42" t="str">
        <f aca="false">IF(C149="","",IF(W149=1,"NO – opted out. Do not email.",IF(I149="","Pick a contact type",IF(LEFT(I149,4)="Sole",IF(OR(LEFT(J149,7)="Consent",LEFT(J149,4)="Soft"),"Yes – add opt-out + privacy link",IF(LEFT(J149,8)="Contract","Reply about their enquiry only","NO – needs consent first (PECR)")),"Yes – add opt-out + privacy link"))))</f>
        <v/>
      </c>
      <c r="N149" s="38"/>
      <c r="O149" s="39"/>
      <c r="P149" s="38"/>
      <c r="Q149" s="39"/>
      <c r="R149" s="43" t="str">
        <f aca="false">IF(C149="","",IF(Q149&lt;&gt;"",Q149,IF(OR(W149=1,N149="Won",N149="Lost",N149="Parked"),"",IF(O149&lt;&gt;"",O149+Lists!$N$2,IF(B149&lt;&gt;"",B149+Lists!$N$2,"")))))</f>
        <v/>
      </c>
      <c r="S149" s="42" t="str">
        <f aca="true">IF(C149="","",IF(W149=1,"Grey – do not email",IF(N149="Won","Won",IF(OR(N149="Lost",N149="Parked"),"Closed",IF(R149="","Amber – add next action",IF(R149&lt;TODAY(),"Red – overdue",IF(R149=TODAY(),"Red – due today",IF(R149-TODAY()&lt;=Lists!$N$3,"Amber – due soon","Green – on track"))))))))</f>
        <v/>
      </c>
      <c r="T149" s="44"/>
      <c r="U149" s="38"/>
      <c r="V149" s="42" t="str">
        <f aca="true">IF(OR(C149="",W149=1,N149="Won",N149="Lost"),"",IF(ISNUMBER(R149),IF(R149&lt;=TODAY(),R149+ROW()/100000,""),""))</f>
        <v/>
      </c>
      <c r="W149" s="42" t="n">
        <f aca="false">IF(OR(L149="Y",AND(G149&lt;&gt;"",COUNTIF('Do not contact'!$A$6:$A$505,G149)&gt;0)),1,0)</f>
        <v>0</v>
      </c>
    </row>
    <row r="150" customFormat="false" ht="27.75" hidden="false" customHeight="true" outlineLevel="0" collapsed="false">
      <c r="A150" s="38"/>
      <c r="B150" s="39"/>
      <c r="C150" s="38"/>
      <c r="D150" s="38"/>
      <c r="E150" s="38"/>
      <c r="F150" s="38"/>
      <c r="G150" s="38"/>
      <c r="H150" s="40"/>
      <c r="I150" s="38"/>
      <c r="J150" s="38"/>
      <c r="K150" s="38"/>
      <c r="L150" s="41"/>
      <c r="M150" s="42" t="str">
        <f aca="false">IF(C150="","",IF(W150=1,"NO – opted out. Do not email.",IF(I150="","Pick a contact type",IF(LEFT(I150,4)="Sole",IF(OR(LEFT(J150,7)="Consent",LEFT(J150,4)="Soft"),"Yes – add opt-out + privacy link",IF(LEFT(J150,8)="Contract","Reply about their enquiry only","NO – needs consent first (PECR)")),"Yes – add opt-out + privacy link"))))</f>
        <v/>
      </c>
      <c r="N150" s="38"/>
      <c r="O150" s="39"/>
      <c r="P150" s="38"/>
      <c r="Q150" s="39"/>
      <c r="R150" s="43" t="str">
        <f aca="false">IF(C150="","",IF(Q150&lt;&gt;"",Q150,IF(OR(W150=1,N150="Won",N150="Lost",N150="Parked"),"",IF(O150&lt;&gt;"",O150+Lists!$N$2,IF(B150&lt;&gt;"",B150+Lists!$N$2,"")))))</f>
        <v/>
      </c>
      <c r="S150" s="42" t="str">
        <f aca="true">IF(C150="","",IF(W150=1,"Grey – do not email",IF(N150="Won","Won",IF(OR(N150="Lost",N150="Parked"),"Closed",IF(R150="","Amber – add next action",IF(R150&lt;TODAY(),"Red – overdue",IF(R150=TODAY(),"Red – due today",IF(R150-TODAY()&lt;=Lists!$N$3,"Amber – due soon","Green – on track"))))))))</f>
        <v/>
      </c>
      <c r="T150" s="44"/>
      <c r="U150" s="38"/>
      <c r="V150" s="42" t="str">
        <f aca="true">IF(OR(C150="",W150=1,N150="Won",N150="Lost"),"",IF(ISNUMBER(R150),IF(R150&lt;=TODAY(),R150+ROW()/100000,""),""))</f>
        <v/>
      </c>
      <c r="W150" s="42" t="n">
        <f aca="false">IF(OR(L150="Y",AND(G150&lt;&gt;"",COUNTIF('Do not contact'!$A$6:$A$505,G150)&gt;0)),1,0)</f>
        <v>0</v>
      </c>
    </row>
    <row r="151" customFormat="false" ht="27.75" hidden="false" customHeight="true" outlineLevel="0" collapsed="false">
      <c r="A151" s="38"/>
      <c r="B151" s="39"/>
      <c r="C151" s="38"/>
      <c r="D151" s="38"/>
      <c r="E151" s="38"/>
      <c r="F151" s="38"/>
      <c r="G151" s="38"/>
      <c r="H151" s="40"/>
      <c r="I151" s="38"/>
      <c r="J151" s="38"/>
      <c r="K151" s="38"/>
      <c r="L151" s="41"/>
      <c r="M151" s="42" t="str">
        <f aca="false">IF(C151="","",IF(W151=1,"NO – opted out. Do not email.",IF(I151="","Pick a contact type",IF(LEFT(I151,4)="Sole",IF(OR(LEFT(J151,7)="Consent",LEFT(J151,4)="Soft"),"Yes – add opt-out + privacy link",IF(LEFT(J151,8)="Contract","Reply about their enquiry only","NO – needs consent first (PECR)")),"Yes – add opt-out + privacy link"))))</f>
        <v/>
      </c>
      <c r="N151" s="38"/>
      <c r="O151" s="39"/>
      <c r="P151" s="38"/>
      <c r="Q151" s="39"/>
      <c r="R151" s="43" t="str">
        <f aca="false">IF(C151="","",IF(Q151&lt;&gt;"",Q151,IF(OR(W151=1,N151="Won",N151="Lost",N151="Parked"),"",IF(O151&lt;&gt;"",O151+Lists!$N$2,IF(B151&lt;&gt;"",B151+Lists!$N$2,"")))))</f>
        <v/>
      </c>
      <c r="S151" s="42" t="str">
        <f aca="true">IF(C151="","",IF(W151=1,"Grey – do not email",IF(N151="Won","Won",IF(OR(N151="Lost",N151="Parked"),"Closed",IF(R151="","Amber – add next action",IF(R151&lt;TODAY(),"Red – overdue",IF(R151=TODAY(),"Red – due today",IF(R151-TODAY()&lt;=Lists!$N$3,"Amber – due soon","Green – on track"))))))))</f>
        <v/>
      </c>
      <c r="T151" s="44"/>
      <c r="U151" s="38"/>
      <c r="V151" s="42" t="str">
        <f aca="true">IF(OR(C151="",W151=1,N151="Won",N151="Lost"),"",IF(ISNUMBER(R151),IF(R151&lt;=TODAY(),R151+ROW()/100000,""),""))</f>
        <v/>
      </c>
      <c r="W151" s="42" t="n">
        <f aca="false">IF(OR(L151="Y",AND(G151&lt;&gt;"",COUNTIF('Do not contact'!$A$6:$A$505,G151)&gt;0)),1,0)</f>
        <v>0</v>
      </c>
    </row>
    <row r="152" customFormat="false" ht="27.75" hidden="false" customHeight="true" outlineLevel="0" collapsed="false">
      <c r="A152" s="38"/>
      <c r="B152" s="39"/>
      <c r="C152" s="38"/>
      <c r="D152" s="38"/>
      <c r="E152" s="38"/>
      <c r="F152" s="38"/>
      <c r="G152" s="38"/>
      <c r="H152" s="40"/>
      <c r="I152" s="38"/>
      <c r="J152" s="38"/>
      <c r="K152" s="38"/>
      <c r="L152" s="41"/>
      <c r="M152" s="42" t="str">
        <f aca="false">IF(C152="","",IF(W152=1,"NO – opted out. Do not email.",IF(I152="","Pick a contact type",IF(LEFT(I152,4)="Sole",IF(OR(LEFT(J152,7)="Consent",LEFT(J152,4)="Soft"),"Yes – add opt-out + privacy link",IF(LEFT(J152,8)="Contract","Reply about their enquiry only","NO – needs consent first (PECR)")),"Yes – add opt-out + privacy link"))))</f>
        <v/>
      </c>
      <c r="N152" s="38"/>
      <c r="O152" s="39"/>
      <c r="P152" s="38"/>
      <c r="Q152" s="39"/>
      <c r="R152" s="43" t="str">
        <f aca="false">IF(C152="","",IF(Q152&lt;&gt;"",Q152,IF(OR(W152=1,N152="Won",N152="Lost",N152="Parked"),"",IF(O152&lt;&gt;"",O152+Lists!$N$2,IF(B152&lt;&gt;"",B152+Lists!$N$2,"")))))</f>
        <v/>
      </c>
      <c r="S152" s="42" t="str">
        <f aca="true">IF(C152="","",IF(W152=1,"Grey – do not email",IF(N152="Won","Won",IF(OR(N152="Lost",N152="Parked"),"Closed",IF(R152="","Amber – add next action",IF(R152&lt;TODAY(),"Red – overdue",IF(R152=TODAY(),"Red – due today",IF(R152-TODAY()&lt;=Lists!$N$3,"Amber – due soon","Green – on track"))))))))</f>
        <v/>
      </c>
      <c r="T152" s="44"/>
      <c r="U152" s="38"/>
      <c r="V152" s="42" t="str">
        <f aca="true">IF(OR(C152="",W152=1,N152="Won",N152="Lost"),"",IF(ISNUMBER(R152),IF(R152&lt;=TODAY(),R152+ROW()/100000,""),""))</f>
        <v/>
      </c>
      <c r="W152" s="42" t="n">
        <f aca="false">IF(OR(L152="Y",AND(G152&lt;&gt;"",COUNTIF('Do not contact'!$A$6:$A$505,G152)&gt;0)),1,0)</f>
        <v>0</v>
      </c>
    </row>
    <row r="153" customFormat="false" ht="27.75" hidden="false" customHeight="true" outlineLevel="0" collapsed="false">
      <c r="A153" s="38"/>
      <c r="B153" s="39"/>
      <c r="C153" s="38"/>
      <c r="D153" s="38"/>
      <c r="E153" s="38"/>
      <c r="F153" s="38"/>
      <c r="G153" s="38"/>
      <c r="H153" s="40"/>
      <c r="I153" s="38"/>
      <c r="J153" s="38"/>
      <c r="K153" s="38"/>
      <c r="L153" s="41"/>
      <c r="M153" s="42" t="str">
        <f aca="false">IF(C153="","",IF(W153=1,"NO – opted out. Do not email.",IF(I153="","Pick a contact type",IF(LEFT(I153,4)="Sole",IF(OR(LEFT(J153,7)="Consent",LEFT(J153,4)="Soft"),"Yes – add opt-out + privacy link",IF(LEFT(J153,8)="Contract","Reply about their enquiry only","NO – needs consent first (PECR)")),"Yes – add opt-out + privacy link"))))</f>
        <v/>
      </c>
      <c r="N153" s="38"/>
      <c r="O153" s="39"/>
      <c r="P153" s="38"/>
      <c r="Q153" s="39"/>
      <c r="R153" s="43" t="str">
        <f aca="false">IF(C153="","",IF(Q153&lt;&gt;"",Q153,IF(OR(W153=1,N153="Won",N153="Lost",N153="Parked"),"",IF(O153&lt;&gt;"",O153+Lists!$N$2,IF(B153&lt;&gt;"",B153+Lists!$N$2,"")))))</f>
        <v/>
      </c>
      <c r="S153" s="42" t="str">
        <f aca="true">IF(C153="","",IF(W153=1,"Grey – do not email",IF(N153="Won","Won",IF(OR(N153="Lost",N153="Parked"),"Closed",IF(R153="","Amber – add next action",IF(R153&lt;TODAY(),"Red – overdue",IF(R153=TODAY(),"Red – due today",IF(R153-TODAY()&lt;=Lists!$N$3,"Amber – due soon","Green – on track"))))))))</f>
        <v/>
      </c>
      <c r="T153" s="44"/>
      <c r="U153" s="38"/>
      <c r="V153" s="42" t="str">
        <f aca="true">IF(OR(C153="",W153=1,N153="Won",N153="Lost"),"",IF(ISNUMBER(R153),IF(R153&lt;=TODAY(),R153+ROW()/100000,""),""))</f>
        <v/>
      </c>
      <c r="W153" s="42" t="n">
        <f aca="false">IF(OR(L153="Y",AND(G153&lt;&gt;"",COUNTIF('Do not contact'!$A$6:$A$505,G153)&gt;0)),1,0)</f>
        <v>0</v>
      </c>
    </row>
    <row r="154" customFormat="false" ht="27.75" hidden="false" customHeight="true" outlineLevel="0" collapsed="false">
      <c r="A154" s="38"/>
      <c r="B154" s="39"/>
      <c r="C154" s="38"/>
      <c r="D154" s="38"/>
      <c r="E154" s="38"/>
      <c r="F154" s="38"/>
      <c r="G154" s="38"/>
      <c r="H154" s="40"/>
      <c r="I154" s="38"/>
      <c r="J154" s="38"/>
      <c r="K154" s="38"/>
      <c r="L154" s="41"/>
      <c r="M154" s="42" t="str">
        <f aca="false">IF(C154="","",IF(W154=1,"NO – opted out. Do not email.",IF(I154="","Pick a contact type",IF(LEFT(I154,4)="Sole",IF(OR(LEFT(J154,7)="Consent",LEFT(J154,4)="Soft"),"Yes – add opt-out + privacy link",IF(LEFT(J154,8)="Contract","Reply about their enquiry only","NO – needs consent first (PECR)")),"Yes – add opt-out + privacy link"))))</f>
        <v/>
      </c>
      <c r="N154" s="38"/>
      <c r="O154" s="39"/>
      <c r="P154" s="38"/>
      <c r="Q154" s="39"/>
      <c r="R154" s="43" t="str">
        <f aca="false">IF(C154="","",IF(Q154&lt;&gt;"",Q154,IF(OR(W154=1,N154="Won",N154="Lost",N154="Parked"),"",IF(O154&lt;&gt;"",O154+Lists!$N$2,IF(B154&lt;&gt;"",B154+Lists!$N$2,"")))))</f>
        <v/>
      </c>
      <c r="S154" s="42" t="str">
        <f aca="true">IF(C154="","",IF(W154=1,"Grey – do not email",IF(N154="Won","Won",IF(OR(N154="Lost",N154="Parked"),"Closed",IF(R154="","Amber – add next action",IF(R154&lt;TODAY(),"Red – overdue",IF(R154=TODAY(),"Red – due today",IF(R154-TODAY()&lt;=Lists!$N$3,"Amber – due soon","Green – on track"))))))))</f>
        <v/>
      </c>
      <c r="T154" s="44"/>
      <c r="U154" s="38"/>
      <c r="V154" s="42" t="str">
        <f aca="true">IF(OR(C154="",W154=1,N154="Won",N154="Lost"),"",IF(ISNUMBER(R154),IF(R154&lt;=TODAY(),R154+ROW()/100000,""),""))</f>
        <v/>
      </c>
      <c r="W154" s="42" t="n">
        <f aca="false">IF(OR(L154="Y",AND(G154&lt;&gt;"",COUNTIF('Do not contact'!$A$6:$A$505,G154)&gt;0)),1,0)</f>
        <v>0</v>
      </c>
    </row>
    <row r="155" customFormat="false" ht="27.75" hidden="false" customHeight="true" outlineLevel="0" collapsed="false">
      <c r="A155" s="38"/>
      <c r="B155" s="39"/>
      <c r="C155" s="38"/>
      <c r="D155" s="38"/>
      <c r="E155" s="38"/>
      <c r="F155" s="38"/>
      <c r="G155" s="38"/>
      <c r="H155" s="40"/>
      <c r="I155" s="38"/>
      <c r="J155" s="38"/>
      <c r="K155" s="38"/>
      <c r="L155" s="41"/>
      <c r="M155" s="42" t="str">
        <f aca="false">IF(C155="","",IF(W155=1,"NO – opted out. Do not email.",IF(I155="","Pick a contact type",IF(LEFT(I155,4)="Sole",IF(OR(LEFT(J155,7)="Consent",LEFT(J155,4)="Soft"),"Yes – add opt-out + privacy link",IF(LEFT(J155,8)="Contract","Reply about their enquiry only","NO – needs consent first (PECR)")),"Yes – add opt-out + privacy link"))))</f>
        <v/>
      </c>
      <c r="N155" s="38"/>
      <c r="O155" s="39"/>
      <c r="P155" s="38"/>
      <c r="Q155" s="39"/>
      <c r="R155" s="43" t="str">
        <f aca="false">IF(C155="","",IF(Q155&lt;&gt;"",Q155,IF(OR(W155=1,N155="Won",N155="Lost",N155="Parked"),"",IF(O155&lt;&gt;"",O155+Lists!$N$2,IF(B155&lt;&gt;"",B155+Lists!$N$2,"")))))</f>
        <v/>
      </c>
      <c r="S155" s="42" t="str">
        <f aca="true">IF(C155="","",IF(W155=1,"Grey – do not email",IF(N155="Won","Won",IF(OR(N155="Lost",N155="Parked"),"Closed",IF(R155="","Amber – add next action",IF(R155&lt;TODAY(),"Red – overdue",IF(R155=TODAY(),"Red – due today",IF(R155-TODAY()&lt;=Lists!$N$3,"Amber – due soon","Green – on track"))))))))</f>
        <v/>
      </c>
      <c r="T155" s="44"/>
      <c r="U155" s="38"/>
      <c r="V155" s="42" t="str">
        <f aca="true">IF(OR(C155="",W155=1,N155="Won",N155="Lost"),"",IF(ISNUMBER(R155),IF(R155&lt;=TODAY(),R155+ROW()/100000,""),""))</f>
        <v/>
      </c>
      <c r="W155" s="42" t="n">
        <f aca="false">IF(OR(L155="Y",AND(G155&lt;&gt;"",COUNTIF('Do not contact'!$A$6:$A$505,G155)&gt;0)),1,0)</f>
        <v>0</v>
      </c>
    </row>
    <row r="156" customFormat="false" ht="27.75" hidden="false" customHeight="true" outlineLevel="0" collapsed="false">
      <c r="A156" s="38"/>
      <c r="B156" s="39"/>
      <c r="C156" s="38"/>
      <c r="D156" s="38"/>
      <c r="E156" s="38"/>
      <c r="F156" s="38"/>
      <c r="G156" s="38"/>
      <c r="H156" s="40"/>
      <c r="I156" s="38"/>
      <c r="J156" s="38"/>
      <c r="K156" s="38"/>
      <c r="L156" s="41"/>
      <c r="M156" s="42" t="str">
        <f aca="false">IF(C156="","",IF(W156=1,"NO – opted out. Do not email.",IF(I156="","Pick a contact type",IF(LEFT(I156,4)="Sole",IF(OR(LEFT(J156,7)="Consent",LEFT(J156,4)="Soft"),"Yes – add opt-out + privacy link",IF(LEFT(J156,8)="Contract","Reply about their enquiry only","NO – needs consent first (PECR)")),"Yes – add opt-out + privacy link"))))</f>
        <v/>
      </c>
      <c r="N156" s="38"/>
      <c r="O156" s="39"/>
      <c r="P156" s="38"/>
      <c r="Q156" s="39"/>
      <c r="R156" s="43" t="str">
        <f aca="false">IF(C156="","",IF(Q156&lt;&gt;"",Q156,IF(OR(W156=1,N156="Won",N156="Lost",N156="Parked"),"",IF(O156&lt;&gt;"",O156+Lists!$N$2,IF(B156&lt;&gt;"",B156+Lists!$N$2,"")))))</f>
        <v/>
      </c>
      <c r="S156" s="42" t="str">
        <f aca="true">IF(C156="","",IF(W156=1,"Grey – do not email",IF(N156="Won","Won",IF(OR(N156="Lost",N156="Parked"),"Closed",IF(R156="","Amber – add next action",IF(R156&lt;TODAY(),"Red – overdue",IF(R156=TODAY(),"Red – due today",IF(R156-TODAY()&lt;=Lists!$N$3,"Amber – due soon","Green – on track"))))))))</f>
        <v/>
      </c>
      <c r="T156" s="44"/>
      <c r="U156" s="38"/>
      <c r="V156" s="42" t="str">
        <f aca="true">IF(OR(C156="",W156=1,N156="Won",N156="Lost"),"",IF(ISNUMBER(R156),IF(R156&lt;=TODAY(),R156+ROW()/100000,""),""))</f>
        <v/>
      </c>
      <c r="W156" s="42" t="n">
        <f aca="false">IF(OR(L156="Y",AND(G156&lt;&gt;"",COUNTIF('Do not contact'!$A$6:$A$505,G156)&gt;0)),1,0)</f>
        <v>0</v>
      </c>
    </row>
    <row r="157" customFormat="false" ht="27.75" hidden="false" customHeight="true" outlineLevel="0" collapsed="false">
      <c r="A157" s="38"/>
      <c r="B157" s="39"/>
      <c r="C157" s="38"/>
      <c r="D157" s="38"/>
      <c r="E157" s="38"/>
      <c r="F157" s="38"/>
      <c r="G157" s="38"/>
      <c r="H157" s="40"/>
      <c r="I157" s="38"/>
      <c r="J157" s="38"/>
      <c r="K157" s="38"/>
      <c r="L157" s="41"/>
      <c r="M157" s="42" t="str">
        <f aca="false">IF(C157="","",IF(W157=1,"NO – opted out. Do not email.",IF(I157="","Pick a contact type",IF(LEFT(I157,4)="Sole",IF(OR(LEFT(J157,7)="Consent",LEFT(J157,4)="Soft"),"Yes – add opt-out + privacy link",IF(LEFT(J157,8)="Contract","Reply about their enquiry only","NO – needs consent first (PECR)")),"Yes – add opt-out + privacy link"))))</f>
        <v/>
      </c>
      <c r="N157" s="38"/>
      <c r="O157" s="39"/>
      <c r="P157" s="38"/>
      <c r="Q157" s="39"/>
      <c r="R157" s="43" t="str">
        <f aca="false">IF(C157="","",IF(Q157&lt;&gt;"",Q157,IF(OR(W157=1,N157="Won",N157="Lost",N157="Parked"),"",IF(O157&lt;&gt;"",O157+Lists!$N$2,IF(B157&lt;&gt;"",B157+Lists!$N$2,"")))))</f>
        <v/>
      </c>
      <c r="S157" s="42" t="str">
        <f aca="true">IF(C157="","",IF(W157=1,"Grey – do not email",IF(N157="Won","Won",IF(OR(N157="Lost",N157="Parked"),"Closed",IF(R157="","Amber – add next action",IF(R157&lt;TODAY(),"Red – overdue",IF(R157=TODAY(),"Red – due today",IF(R157-TODAY()&lt;=Lists!$N$3,"Amber – due soon","Green – on track"))))))))</f>
        <v/>
      </c>
      <c r="T157" s="44"/>
      <c r="U157" s="38"/>
      <c r="V157" s="42" t="str">
        <f aca="true">IF(OR(C157="",W157=1,N157="Won",N157="Lost"),"",IF(ISNUMBER(R157),IF(R157&lt;=TODAY(),R157+ROW()/100000,""),""))</f>
        <v/>
      </c>
      <c r="W157" s="42" t="n">
        <f aca="false">IF(OR(L157="Y",AND(G157&lt;&gt;"",COUNTIF('Do not contact'!$A$6:$A$505,G157)&gt;0)),1,0)</f>
        <v>0</v>
      </c>
    </row>
    <row r="158" customFormat="false" ht="27.75" hidden="false" customHeight="true" outlineLevel="0" collapsed="false">
      <c r="A158" s="38"/>
      <c r="B158" s="39"/>
      <c r="C158" s="38"/>
      <c r="D158" s="38"/>
      <c r="E158" s="38"/>
      <c r="F158" s="38"/>
      <c r="G158" s="38"/>
      <c r="H158" s="40"/>
      <c r="I158" s="38"/>
      <c r="J158" s="38"/>
      <c r="K158" s="38"/>
      <c r="L158" s="41"/>
      <c r="M158" s="42" t="str">
        <f aca="false">IF(C158="","",IF(W158=1,"NO – opted out. Do not email.",IF(I158="","Pick a contact type",IF(LEFT(I158,4)="Sole",IF(OR(LEFT(J158,7)="Consent",LEFT(J158,4)="Soft"),"Yes – add opt-out + privacy link",IF(LEFT(J158,8)="Contract","Reply about their enquiry only","NO – needs consent first (PECR)")),"Yes – add opt-out + privacy link"))))</f>
        <v/>
      </c>
      <c r="N158" s="38"/>
      <c r="O158" s="39"/>
      <c r="P158" s="38"/>
      <c r="Q158" s="39"/>
      <c r="R158" s="43" t="str">
        <f aca="false">IF(C158="","",IF(Q158&lt;&gt;"",Q158,IF(OR(W158=1,N158="Won",N158="Lost",N158="Parked"),"",IF(O158&lt;&gt;"",O158+Lists!$N$2,IF(B158&lt;&gt;"",B158+Lists!$N$2,"")))))</f>
        <v/>
      </c>
      <c r="S158" s="42" t="str">
        <f aca="true">IF(C158="","",IF(W158=1,"Grey – do not email",IF(N158="Won","Won",IF(OR(N158="Lost",N158="Parked"),"Closed",IF(R158="","Amber – add next action",IF(R158&lt;TODAY(),"Red – overdue",IF(R158=TODAY(),"Red – due today",IF(R158-TODAY()&lt;=Lists!$N$3,"Amber – due soon","Green – on track"))))))))</f>
        <v/>
      </c>
      <c r="T158" s="44"/>
      <c r="U158" s="38"/>
      <c r="V158" s="42" t="str">
        <f aca="true">IF(OR(C158="",W158=1,N158="Won",N158="Lost"),"",IF(ISNUMBER(R158),IF(R158&lt;=TODAY(),R158+ROW()/100000,""),""))</f>
        <v/>
      </c>
      <c r="W158" s="42" t="n">
        <f aca="false">IF(OR(L158="Y",AND(G158&lt;&gt;"",COUNTIF('Do not contact'!$A$6:$A$505,G158)&gt;0)),1,0)</f>
        <v>0</v>
      </c>
    </row>
    <row r="159" customFormat="false" ht="27.75" hidden="false" customHeight="true" outlineLevel="0" collapsed="false">
      <c r="A159" s="38"/>
      <c r="B159" s="39"/>
      <c r="C159" s="38"/>
      <c r="D159" s="38"/>
      <c r="E159" s="38"/>
      <c r="F159" s="38"/>
      <c r="G159" s="38"/>
      <c r="H159" s="40"/>
      <c r="I159" s="38"/>
      <c r="J159" s="38"/>
      <c r="K159" s="38"/>
      <c r="L159" s="41"/>
      <c r="M159" s="42" t="str">
        <f aca="false">IF(C159="","",IF(W159=1,"NO – opted out. Do not email.",IF(I159="","Pick a contact type",IF(LEFT(I159,4)="Sole",IF(OR(LEFT(J159,7)="Consent",LEFT(J159,4)="Soft"),"Yes – add opt-out + privacy link",IF(LEFT(J159,8)="Contract","Reply about their enquiry only","NO – needs consent first (PECR)")),"Yes – add opt-out + privacy link"))))</f>
        <v/>
      </c>
      <c r="N159" s="38"/>
      <c r="O159" s="39"/>
      <c r="P159" s="38"/>
      <c r="Q159" s="39"/>
      <c r="R159" s="43" t="str">
        <f aca="false">IF(C159="","",IF(Q159&lt;&gt;"",Q159,IF(OR(W159=1,N159="Won",N159="Lost",N159="Parked"),"",IF(O159&lt;&gt;"",O159+Lists!$N$2,IF(B159&lt;&gt;"",B159+Lists!$N$2,"")))))</f>
        <v/>
      </c>
      <c r="S159" s="42" t="str">
        <f aca="true">IF(C159="","",IF(W159=1,"Grey – do not email",IF(N159="Won","Won",IF(OR(N159="Lost",N159="Parked"),"Closed",IF(R159="","Amber – add next action",IF(R159&lt;TODAY(),"Red – overdue",IF(R159=TODAY(),"Red – due today",IF(R159-TODAY()&lt;=Lists!$N$3,"Amber – due soon","Green – on track"))))))))</f>
        <v/>
      </c>
      <c r="T159" s="44"/>
      <c r="U159" s="38"/>
      <c r="V159" s="42" t="str">
        <f aca="true">IF(OR(C159="",W159=1,N159="Won",N159="Lost"),"",IF(ISNUMBER(R159),IF(R159&lt;=TODAY(),R159+ROW()/100000,""),""))</f>
        <v/>
      </c>
      <c r="W159" s="42" t="n">
        <f aca="false">IF(OR(L159="Y",AND(G159&lt;&gt;"",COUNTIF('Do not contact'!$A$6:$A$505,G159)&gt;0)),1,0)</f>
        <v>0</v>
      </c>
    </row>
    <row r="160" customFormat="false" ht="27.75" hidden="false" customHeight="true" outlineLevel="0" collapsed="false">
      <c r="A160" s="38"/>
      <c r="B160" s="39"/>
      <c r="C160" s="38"/>
      <c r="D160" s="38"/>
      <c r="E160" s="38"/>
      <c r="F160" s="38"/>
      <c r="G160" s="38"/>
      <c r="H160" s="40"/>
      <c r="I160" s="38"/>
      <c r="J160" s="38"/>
      <c r="K160" s="38"/>
      <c r="L160" s="41"/>
      <c r="M160" s="42" t="str">
        <f aca="false">IF(C160="","",IF(W160=1,"NO – opted out. Do not email.",IF(I160="","Pick a contact type",IF(LEFT(I160,4)="Sole",IF(OR(LEFT(J160,7)="Consent",LEFT(J160,4)="Soft"),"Yes – add opt-out + privacy link",IF(LEFT(J160,8)="Contract","Reply about their enquiry only","NO – needs consent first (PECR)")),"Yes – add opt-out + privacy link"))))</f>
        <v/>
      </c>
      <c r="N160" s="38"/>
      <c r="O160" s="39"/>
      <c r="P160" s="38"/>
      <c r="Q160" s="39"/>
      <c r="R160" s="43" t="str">
        <f aca="false">IF(C160="","",IF(Q160&lt;&gt;"",Q160,IF(OR(W160=1,N160="Won",N160="Lost",N160="Parked"),"",IF(O160&lt;&gt;"",O160+Lists!$N$2,IF(B160&lt;&gt;"",B160+Lists!$N$2,"")))))</f>
        <v/>
      </c>
      <c r="S160" s="42" t="str">
        <f aca="true">IF(C160="","",IF(W160=1,"Grey – do not email",IF(N160="Won","Won",IF(OR(N160="Lost",N160="Parked"),"Closed",IF(R160="","Amber – add next action",IF(R160&lt;TODAY(),"Red – overdue",IF(R160=TODAY(),"Red – due today",IF(R160-TODAY()&lt;=Lists!$N$3,"Amber – due soon","Green – on track"))))))))</f>
        <v/>
      </c>
      <c r="T160" s="44"/>
      <c r="U160" s="38"/>
      <c r="V160" s="42" t="str">
        <f aca="true">IF(OR(C160="",W160=1,N160="Won",N160="Lost"),"",IF(ISNUMBER(R160),IF(R160&lt;=TODAY(),R160+ROW()/100000,""),""))</f>
        <v/>
      </c>
      <c r="W160" s="42" t="n">
        <f aca="false">IF(OR(L160="Y",AND(G160&lt;&gt;"",COUNTIF('Do not contact'!$A$6:$A$505,G160)&gt;0)),1,0)</f>
        <v>0</v>
      </c>
    </row>
    <row r="161" customFormat="false" ht="27.75" hidden="false" customHeight="true" outlineLevel="0" collapsed="false">
      <c r="A161" s="38"/>
      <c r="B161" s="39"/>
      <c r="C161" s="38"/>
      <c r="D161" s="38"/>
      <c r="E161" s="38"/>
      <c r="F161" s="38"/>
      <c r="G161" s="38"/>
      <c r="H161" s="40"/>
      <c r="I161" s="38"/>
      <c r="J161" s="38"/>
      <c r="K161" s="38"/>
      <c r="L161" s="41"/>
      <c r="M161" s="42" t="str">
        <f aca="false">IF(C161="","",IF(W161=1,"NO – opted out. Do not email.",IF(I161="","Pick a contact type",IF(LEFT(I161,4)="Sole",IF(OR(LEFT(J161,7)="Consent",LEFT(J161,4)="Soft"),"Yes – add opt-out + privacy link",IF(LEFT(J161,8)="Contract","Reply about their enquiry only","NO – needs consent first (PECR)")),"Yes – add opt-out + privacy link"))))</f>
        <v/>
      </c>
      <c r="N161" s="38"/>
      <c r="O161" s="39"/>
      <c r="P161" s="38"/>
      <c r="Q161" s="39"/>
      <c r="R161" s="43" t="str">
        <f aca="false">IF(C161="","",IF(Q161&lt;&gt;"",Q161,IF(OR(W161=1,N161="Won",N161="Lost",N161="Parked"),"",IF(O161&lt;&gt;"",O161+Lists!$N$2,IF(B161&lt;&gt;"",B161+Lists!$N$2,"")))))</f>
        <v/>
      </c>
      <c r="S161" s="42" t="str">
        <f aca="true">IF(C161="","",IF(W161=1,"Grey – do not email",IF(N161="Won","Won",IF(OR(N161="Lost",N161="Parked"),"Closed",IF(R161="","Amber – add next action",IF(R161&lt;TODAY(),"Red – overdue",IF(R161=TODAY(),"Red – due today",IF(R161-TODAY()&lt;=Lists!$N$3,"Amber – due soon","Green – on track"))))))))</f>
        <v/>
      </c>
      <c r="T161" s="44"/>
      <c r="U161" s="38"/>
      <c r="V161" s="42" t="str">
        <f aca="true">IF(OR(C161="",W161=1,N161="Won",N161="Lost"),"",IF(ISNUMBER(R161),IF(R161&lt;=TODAY(),R161+ROW()/100000,""),""))</f>
        <v/>
      </c>
      <c r="W161" s="42" t="n">
        <f aca="false">IF(OR(L161="Y",AND(G161&lt;&gt;"",COUNTIF('Do not contact'!$A$6:$A$505,G161)&gt;0)),1,0)</f>
        <v>0</v>
      </c>
    </row>
    <row r="162" customFormat="false" ht="27.75" hidden="false" customHeight="true" outlineLevel="0" collapsed="false">
      <c r="A162" s="38"/>
      <c r="B162" s="39"/>
      <c r="C162" s="38"/>
      <c r="D162" s="38"/>
      <c r="E162" s="38"/>
      <c r="F162" s="38"/>
      <c r="G162" s="38"/>
      <c r="H162" s="40"/>
      <c r="I162" s="38"/>
      <c r="J162" s="38"/>
      <c r="K162" s="38"/>
      <c r="L162" s="41"/>
      <c r="M162" s="42" t="str">
        <f aca="false">IF(C162="","",IF(W162=1,"NO – opted out. Do not email.",IF(I162="","Pick a contact type",IF(LEFT(I162,4)="Sole",IF(OR(LEFT(J162,7)="Consent",LEFT(J162,4)="Soft"),"Yes – add opt-out + privacy link",IF(LEFT(J162,8)="Contract","Reply about their enquiry only","NO – needs consent first (PECR)")),"Yes – add opt-out + privacy link"))))</f>
        <v/>
      </c>
      <c r="N162" s="38"/>
      <c r="O162" s="39"/>
      <c r="P162" s="38"/>
      <c r="Q162" s="39"/>
      <c r="R162" s="43" t="str">
        <f aca="false">IF(C162="","",IF(Q162&lt;&gt;"",Q162,IF(OR(W162=1,N162="Won",N162="Lost",N162="Parked"),"",IF(O162&lt;&gt;"",O162+Lists!$N$2,IF(B162&lt;&gt;"",B162+Lists!$N$2,"")))))</f>
        <v/>
      </c>
      <c r="S162" s="42" t="str">
        <f aca="true">IF(C162="","",IF(W162=1,"Grey – do not email",IF(N162="Won","Won",IF(OR(N162="Lost",N162="Parked"),"Closed",IF(R162="","Amber – add next action",IF(R162&lt;TODAY(),"Red – overdue",IF(R162=TODAY(),"Red – due today",IF(R162-TODAY()&lt;=Lists!$N$3,"Amber – due soon","Green – on track"))))))))</f>
        <v/>
      </c>
      <c r="T162" s="44"/>
      <c r="U162" s="38"/>
      <c r="V162" s="42" t="str">
        <f aca="true">IF(OR(C162="",W162=1,N162="Won",N162="Lost"),"",IF(ISNUMBER(R162),IF(R162&lt;=TODAY(),R162+ROW()/100000,""),""))</f>
        <v/>
      </c>
      <c r="W162" s="42" t="n">
        <f aca="false">IF(OR(L162="Y",AND(G162&lt;&gt;"",COUNTIF('Do not contact'!$A$6:$A$505,G162)&gt;0)),1,0)</f>
        <v>0</v>
      </c>
    </row>
    <row r="163" customFormat="false" ht="27.75" hidden="false" customHeight="true" outlineLevel="0" collapsed="false">
      <c r="A163" s="38"/>
      <c r="B163" s="39"/>
      <c r="C163" s="38"/>
      <c r="D163" s="38"/>
      <c r="E163" s="38"/>
      <c r="F163" s="38"/>
      <c r="G163" s="38"/>
      <c r="H163" s="40"/>
      <c r="I163" s="38"/>
      <c r="J163" s="38"/>
      <c r="K163" s="38"/>
      <c r="L163" s="41"/>
      <c r="M163" s="42" t="str">
        <f aca="false">IF(C163="","",IF(W163=1,"NO – opted out. Do not email.",IF(I163="","Pick a contact type",IF(LEFT(I163,4)="Sole",IF(OR(LEFT(J163,7)="Consent",LEFT(J163,4)="Soft"),"Yes – add opt-out + privacy link",IF(LEFT(J163,8)="Contract","Reply about their enquiry only","NO – needs consent first (PECR)")),"Yes – add opt-out + privacy link"))))</f>
        <v/>
      </c>
      <c r="N163" s="38"/>
      <c r="O163" s="39"/>
      <c r="P163" s="38"/>
      <c r="Q163" s="39"/>
      <c r="R163" s="43" t="str">
        <f aca="false">IF(C163="","",IF(Q163&lt;&gt;"",Q163,IF(OR(W163=1,N163="Won",N163="Lost",N163="Parked"),"",IF(O163&lt;&gt;"",O163+Lists!$N$2,IF(B163&lt;&gt;"",B163+Lists!$N$2,"")))))</f>
        <v/>
      </c>
      <c r="S163" s="42" t="str">
        <f aca="true">IF(C163="","",IF(W163=1,"Grey – do not email",IF(N163="Won","Won",IF(OR(N163="Lost",N163="Parked"),"Closed",IF(R163="","Amber – add next action",IF(R163&lt;TODAY(),"Red – overdue",IF(R163=TODAY(),"Red – due today",IF(R163-TODAY()&lt;=Lists!$N$3,"Amber – due soon","Green – on track"))))))))</f>
        <v/>
      </c>
      <c r="T163" s="44"/>
      <c r="U163" s="38"/>
      <c r="V163" s="42" t="str">
        <f aca="true">IF(OR(C163="",W163=1,N163="Won",N163="Lost"),"",IF(ISNUMBER(R163),IF(R163&lt;=TODAY(),R163+ROW()/100000,""),""))</f>
        <v/>
      </c>
      <c r="W163" s="42" t="n">
        <f aca="false">IF(OR(L163="Y",AND(G163&lt;&gt;"",COUNTIF('Do not contact'!$A$6:$A$505,G163)&gt;0)),1,0)</f>
        <v>0</v>
      </c>
    </row>
    <row r="164" customFormat="false" ht="27.75" hidden="false" customHeight="true" outlineLevel="0" collapsed="false">
      <c r="A164" s="38"/>
      <c r="B164" s="39"/>
      <c r="C164" s="38"/>
      <c r="D164" s="38"/>
      <c r="E164" s="38"/>
      <c r="F164" s="38"/>
      <c r="G164" s="38"/>
      <c r="H164" s="40"/>
      <c r="I164" s="38"/>
      <c r="J164" s="38"/>
      <c r="K164" s="38"/>
      <c r="L164" s="41"/>
      <c r="M164" s="42" t="str">
        <f aca="false">IF(C164="","",IF(W164=1,"NO – opted out. Do not email.",IF(I164="","Pick a contact type",IF(LEFT(I164,4)="Sole",IF(OR(LEFT(J164,7)="Consent",LEFT(J164,4)="Soft"),"Yes – add opt-out + privacy link",IF(LEFT(J164,8)="Contract","Reply about their enquiry only","NO – needs consent first (PECR)")),"Yes – add opt-out + privacy link"))))</f>
        <v/>
      </c>
      <c r="N164" s="38"/>
      <c r="O164" s="39"/>
      <c r="P164" s="38"/>
      <c r="Q164" s="39"/>
      <c r="R164" s="43" t="str">
        <f aca="false">IF(C164="","",IF(Q164&lt;&gt;"",Q164,IF(OR(W164=1,N164="Won",N164="Lost",N164="Parked"),"",IF(O164&lt;&gt;"",O164+Lists!$N$2,IF(B164&lt;&gt;"",B164+Lists!$N$2,"")))))</f>
        <v/>
      </c>
      <c r="S164" s="42" t="str">
        <f aca="true">IF(C164="","",IF(W164=1,"Grey – do not email",IF(N164="Won","Won",IF(OR(N164="Lost",N164="Parked"),"Closed",IF(R164="","Amber – add next action",IF(R164&lt;TODAY(),"Red – overdue",IF(R164=TODAY(),"Red – due today",IF(R164-TODAY()&lt;=Lists!$N$3,"Amber – due soon","Green – on track"))))))))</f>
        <v/>
      </c>
      <c r="T164" s="44"/>
      <c r="U164" s="38"/>
      <c r="V164" s="42" t="str">
        <f aca="true">IF(OR(C164="",W164=1,N164="Won",N164="Lost"),"",IF(ISNUMBER(R164),IF(R164&lt;=TODAY(),R164+ROW()/100000,""),""))</f>
        <v/>
      </c>
      <c r="W164" s="42" t="n">
        <f aca="false">IF(OR(L164="Y",AND(G164&lt;&gt;"",COUNTIF('Do not contact'!$A$6:$A$505,G164)&gt;0)),1,0)</f>
        <v>0</v>
      </c>
    </row>
    <row r="165" customFormat="false" ht="27.75" hidden="false" customHeight="true" outlineLevel="0" collapsed="false">
      <c r="A165" s="38"/>
      <c r="B165" s="39"/>
      <c r="C165" s="38"/>
      <c r="D165" s="38"/>
      <c r="E165" s="38"/>
      <c r="F165" s="38"/>
      <c r="G165" s="38"/>
      <c r="H165" s="40"/>
      <c r="I165" s="38"/>
      <c r="J165" s="38"/>
      <c r="K165" s="38"/>
      <c r="L165" s="41"/>
      <c r="M165" s="42" t="str">
        <f aca="false">IF(C165="","",IF(W165=1,"NO – opted out. Do not email.",IF(I165="","Pick a contact type",IF(LEFT(I165,4)="Sole",IF(OR(LEFT(J165,7)="Consent",LEFT(J165,4)="Soft"),"Yes – add opt-out + privacy link",IF(LEFT(J165,8)="Contract","Reply about their enquiry only","NO – needs consent first (PECR)")),"Yes – add opt-out + privacy link"))))</f>
        <v/>
      </c>
      <c r="N165" s="38"/>
      <c r="O165" s="39"/>
      <c r="P165" s="38"/>
      <c r="Q165" s="39"/>
      <c r="R165" s="43" t="str">
        <f aca="false">IF(C165="","",IF(Q165&lt;&gt;"",Q165,IF(OR(W165=1,N165="Won",N165="Lost",N165="Parked"),"",IF(O165&lt;&gt;"",O165+Lists!$N$2,IF(B165&lt;&gt;"",B165+Lists!$N$2,"")))))</f>
        <v/>
      </c>
      <c r="S165" s="42" t="str">
        <f aca="true">IF(C165="","",IF(W165=1,"Grey – do not email",IF(N165="Won","Won",IF(OR(N165="Lost",N165="Parked"),"Closed",IF(R165="","Amber – add next action",IF(R165&lt;TODAY(),"Red – overdue",IF(R165=TODAY(),"Red – due today",IF(R165-TODAY()&lt;=Lists!$N$3,"Amber – due soon","Green – on track"))))))))</f>
        <v/>
      </c>
      <c r="T165" s="44"/>
      <c r="U165" s="38"/>
      <c r="V165" s="42" t="str">
        <f aca="true">IF(OR(C165="",W165=1,N165="Won",N165="Lost"),"",IF(ISNUMBER(R165),IF(R165&lt;=TODAY(),R165+ROW()/100000,""),""))</f>
        <v/>
      </c>
      <c r="W165" s="42" t="n">
        <f aca="false">IF(OR(L165="Y",AND(G165&lt;&gt;"",COUNTIF('Do not contact'!$A$6:$A$505,G165)&gt;0)),1,0)</f>
        <v>0</v>
      </c>
    </row>
    <row r="166" customFormat="false" ht="27.75" hidden="false" customHeight="true" outlineLevel="0" collapsed="false">
      <c r="A166" s="38"/>
      <c r="B166" s="39"/>
      <c r="C166" s="38"/>
      <c r="D166" s="38"/>
      <c r="E166" s="38"/>
      <c r="F166" s="38"/>
      <c r="G166" s="38"/>
      <c r="H166" s="40"/>
      <c r="I166" s="38"/>
      <c r="J166" s="38"/>
      <c r="K166" s="38"/>
      <c r="L166" s="41"/>
      <c r="M166" s="42" t="str">
        <f aca="false">IF(C166="","",IF(W166=1,"NO – opted out. Do not email.",IF(I166="","Pick a contact type",IF(LEFT(I166,4)="Sole",IF(OR(LEFT(J166,7)="Consent",LEFT(J166,4)="Soft"),"Yes – add opt-out + privacy link",IF(LEFT(J166,8)="Contract","Reply about their enquiry only","NO – needs consent first (PECR)")),"Yes – add opt-out + privacy link"))))</f>
        <v/>
      </c>
      <c r="N166" s="38"/>
      <c r="O166" s="39"/>
      <c r="P166" s="38"/>
      <c r="Q166" s="39"/>
      <c r="R166" s="43" t="str">
        <f aca="false">IF(C166="","",IF(Q166&lt;&gt;"",Q166,IF(OR(W166=1,N166="Won",N166="Lost",N166="Parked"),"",IF(O166&lt;&gt;"",O166+Lists!$N$2,IF(B166&lt;&gt;"",B166+Lists!$N$2,"")))))</f>
        <v/>
      </c>
      <c r="S166" s="42" t="str">
        <f aca="true">IF(C166="","",IF(W166=1,"Grey – do not email",IF(N166="Won","Won",IF(OR(N166="Lost",N166="Parked"),"Closed",IF(R166="","Amber – add next action",IF(R166&lt;TODAY(),"Red – overdue",IF(R166=TODAY(),"Red – due today",IF(R166-TODAY()&lt;=Lists!$N$3,"Amber – due soon","Green – on track"))))))))</f>
        <v/>
      </c>
      <c r="T166" s="44"/>
      <c r="U166" s="38"/>
      <c r="V166" s="42" t="str">
        <f aca="true">IF(OR(C166="",W166=1,N166="Won",N166="Lost"),"",IF(ISNUMBER(R166),IF(R166&lt;=TODAY(),R166+ROW()/100000,""),""))</f>
        <v/>
      </c>
      <c r="W166" s="42" t="n">
        <f aca="false">IF(OR(L166="Y",AND(G166&lt;&gt;"",COUNTIF('Do not contact'!$A$6:$A$505,G166)&gt;0)),1,0)</f>
        <v>0</v>
      </c>
    </row>
    <row r="167" customFormat="false" ht="27.75" hidden="false" customHeight="true" outlineLevel="0" collapsed="false">
      <c r="A167" s="38"/>
      <c r="B167" s="39"/>
      <c r="C167" s="38"/>
      <c r="D167" s="38"/>
      <c r="E167" s="38"/>
      <c r="F167" s="38"/>
      <c r="G167" s="38"/>
      <c r="H167" s="40"/>
      <c r="I167" s="38"/>
      <c r="J167" s="38"/>
      <c r="K167" s="38"/>
      <c r="L167" s="41"/>
      <c r="M167" s="42" t="str">
        <f aca="false">IF(C167="","",IF(W167=1,"NO – opted out. Do not email.",IF(I167="","Pick a contact type",IF(LEFT(I167,4)="Sole",IF(OR(LEFT(J167,7)="Consent",LEFT(J167,4)="Soft"),"Yes – add opt-out + privacy link",IF(LEFT(J167,8)="Contract","Reply about their enquiry only","NO – needs consent first (PECR)")),"Yes – add opt-out + privacy link"))))</f>
        <v/>
      </c>
      <c r="N167" s="38"/>
      <c r="O167" s="39"/>
      <c r="P167" s="38"/>
      <c r="Q167" s="39"/>
      <c r="R167" s="43" t="str">
        <f aca="false">IF(C167="","",IF(Q167&lt;&gt;"",Q167,IF(OR(W167=1,N167="Won",N167="Lost",N167="Parked"),"",IF(O167&lt;&gt;"",O167+Lists!$N$2,IF(B167&lt;&gt;"",B167+Lists!$N$2,"")))))</f>
        <v/>
      </c>
      <c r="S167" s="42" t="str">
        <f aca="true">IF(C167="","",IF(W167=1,"Grey – do not email",IF(N167="Won","Won",IF(OR(N167="Lost",N167="Parked"),"Closed",IF(R167="","Amber – add next action",IF(R167&lt;TODAY(),"Red – overdue",IF(R167=TODAY(),"Red – due today",IF(R167-TODAY()&lt;=Lists!$N$3,"Amber – due soon","Green – on track"))))))))</f>
        <v/>
      </c>
      <c r="T167" s="44"/>
      <c r="U167" s="38"/>
      <c r="V167" s="42" t="str">
        <f aca="true">IF(OR(C167="",W167=1,N167="Won",N167="Lost"),"",IF(ISNUMBER(R167),IF(R167&lt;=TODAY(),R167+ROW()/100000,""),""))</f>
        <v/>
      </c>
      <c r="W167" s="42" t="n">
        <f aca="false">IF(OR(L167="Y",AND(G167&lt;&gt;"",COUNTIF('Do not contact'!$A$6:$A$505,G167)&gt;0)),1,0)</f>
        <v>0</v>
      </c>
    </row>
    <row r="168" customFormat="false" ht="27.75" hidden="false" customHeight="true" outlineLevel="0" collapsed="false">
      <c r="A168" s="38"/>
      <c r="B168" s="39"/>
      <c r="C168" s="38"/>
      <c r="D168" s="38"/>
      <c r="E168" s="38"/>
      <c r="F168" s="38"/>
      <c r="G168" s="38"/>
      <c r="H168" s="40"/>
      <c r="I168" s="38"/>
      <c r="J168" s="38"/>
      <c r="K168" s="38"/>
      <c r="L168" s="41"/>
      <c r="M168" s="42" t="str">
        <f aca="false">IF(C168="","",IF(W168=1,"NO – opted out. Do not email.",IF(I168="","Pick a contact type",IF(LEFT(I168,4)="Sole",IF(OR(LEFT(J168,7)="Consent",LEFT(J168,4)="Soft"),"Yes – add opt-out + privacy link",IF(LEFT(J168,8)="Contract","Reply about their enquiry only","NO – needs consent first (PECR)")),"Yes – add opt-out + privacy link"))))</f>
        <v/>
      </c>
      <c r="N168" s="38"/>
      <c r="O168" s="39"/>
      <c r="P168" s="38"/>
      <c r="Q168" s="39"/>
      <c r="R168" s="43" t="str">
        <f aca="false">IF(C168="","",IF(Q168&lt;&gt;"",Q168,IF(OR(W168=1,N168="Won",N168="Lost",N168="Parked"),"",IF(O168&lt;&gt;"",O168+Lists!$N$2,IF(B168&lt;&gt;"",B168+Lists!$N$2,"")))))</f>
        <v/>
      </c>
      <c r="S168" s="42" t="str">
        <f aca="true">IF(C168="","",IF(W168=1,"Grey – do not email",IF(N168="Won","Won",IF(OR(N168="Lost",N168="Parked"),"Closed",IF(R168="","Amber – add next action",IF(R168&lt;TODAY(),"Red – overdue",IF(R168=TODAY(),"Red – due today",IF(R168-TODAY()&lt;=Lists!$N$3,"Amber – due soon","Green – on track"))))))))</f>
        <v/>
      </c>
      <c r="T168" s="44"/>
      <c r="U168" s="38"/>
      <c r="V168" s="42" t="str">
        <f aca="true">IF(OR(C168="",W168=1,N168="Won",N168="Lost"),"",IF(ISNUMBER(R168),IF(R168&lt;=TODAY(),R168+ROW()/100000,""),""))</f>
        <v/>
      </c>
      <c r="W168" s="42" t="n">
        <f aca="false">IF(OR(L168="Y",AND(G168&lt;&gt;"",COUNTIF('Do not contact'!$A$6:$A$505,G168)&gt;0)),1,0)</f>
        <v>0</v>
      </c>
    </row>
    <row r="169" customFormat="false" ht="27.75" hidden="false" customHeight="true" outlineLevel="0" collapsed="false">
      <c r="A169" s="38"/>
      <c r="B169" s="39"/>
      <c r="C169" s="38"/>
      <c r="D169" s="38"/>
      <c r="E169" s="38"/>
      <c r="F169" s="38"/>
      <c r="G169" s="38"/>
      <c r="H169" s="40"/>
      <c r="I169" s="38"/>
      <c r="J169" s="38"/>
      <c r="K169" s="38"/>
      <c r="L169" s="41"/>
      <c r="M169" s="42" t="str">
        <f aca="false">IF(C169="","",IF(W169=1,"NO – opted out. Do not email.",IF(I169="","Pick a contact type",IF(LEFT(I169,4)="Sole",IF(OR(LEFT(J169,7)="Consent",LEFT(J169,4)="Soft"),"Yes – add opt-out + privacy link",IF(LEFT(J169,8)="Contract","Reply about their enquiry only","NO – needs consent first (PECR)")),"Yes – add opt-out + privacy link"))))</f>
        <v/>
      </c>
      <c r="N169" s="38"/>
      <c r="O169" s="39"/>
      <c r="P169" s="38"/>
      <c r="Q169" s="39"/>
      <c r="R169" s="43" t="str">
        <f aca="false">IF(C169="","",IF(Q169&lt;&gt;"",Q169,IF(OR(W169=1,N169="Won",N169="Lost",N169="Parked"),"",IF(O169&lt;&gt;"",O169+Lists!$N$2,IF(B169&lt;&gt;"",B169+Lists!$N$2,"")))))</f>
        <v/>
      </c>
      <c r="S169" s="42" t="str">
        <f aca="true">IF(C169="","",IF(W169=1,"Grey – do not email",IF(N169="Won","Won",IF(OR(N169="Lost",N169="Parked"),"Closed",IF(R169="","Amber – add next action",IF(R169&lt;TODAY(),"Red – overdue",IF(R169=TODAY(),"Red – due today",IF(R169-TODAY()&lt;=Lists!$N$3,"Amber – due soon","Green – on track"))))))))</f>
        <v/>
      </c>
      <c r="T169" s="44"/>
      <c r="U169" s="38"/>
      <c r="V169" s="42" t="str">
        <f aca="true">IF(OR(C169="",W169=1,N169="Won",N169="Lost"),"",IF(ISNUMBER(R169),IF(R169&lt;=TODAY(),R169+ROW()/100000,""),""))</f>
        <v/>
      </c>
      <c r="W169" s="42" t="n">
        <f aca="false">IF(OR(L169="Y",AND(G169&lt;&gt;"",COUNTIF('Do not contact'!$A$6:$A$505,G169)&gt;0)),1,0)</f>
        <v>0</v>
      </c>
    </row>
    <row r="170" customFormat="false" ht="27.75" hidden="false" customHeight="true" outlineLevel="0" collapsed="false">
      <c r="A170" s="38"/>
      <c r="B170" s="39"/>
      <c r="C170" s="38"/>
      <c r="D170" s="38"/>
      <c r="E170" s="38"/>
      <c r="F170" s="38"/>
      <c r="G170" s="38"/>
      <c r="H170" s="40"/>
      <c r="I170" s="38"/>
      <c r="J170" s="38"/>
      <c r="K170" s="38"/>
      <c r="L170" s="41"/>
      <c r="M170" s="42" t="str">
        <f aca="false">IF(C170="","",IF(W170=1,"NO – opted out. Do not email.",IF(I170="","Pick a contact type",IF(LEFT(I170,4)="Sole",IF(OR(LEFT(J170,7)="Consent",LEFT(J170,4)="Soft"),"Yes – add opt-out + privacy link",IF(LEFT(J170,8)="Contract","Reply about their enquiry only","NO – needs consent first (PECR)")),"Yes – add opt-out + privacy link"))))</f>
        <v/>
      </c>
      <c r="N170" s="38"/>
      <c r="O170" s="39"/>
      <c r="P170" s="38"/>
      <c r="Q170" s="39"/>
      <c r="R170" s="43" t="str">
        <f aca="false">IF(C170="","",IF(Q170&lt;&gt;"",Q170,IF(OR(W170=1,N170="Won",N170="Lost",N170="Parked"),"",IF(O170&lt;&gt;"",O170+Lists!$N$2,IF(B170&lt;&gt;"",B170+Lists!$N$2,"")))))</f>
        <v/>
      </c>
      <c r="S170" s="42" t="str">
        <f aca="true">IF(C170="","",IF(W170=1,"Grey – do not email",IF(N170="Won","Won",IF(OR(N170="Lost",N170="Parked"),"Closed",IF(R170="","Amber – add next action",IF(R170&lt;TODAY(),"Red – overdue",IF(R170=TODAY(),"Red – due today",IF(R170-TODAY()&lt;=Lists!$N$3,"Amber – due soon","Green – on track"))))))))</f>
        <v/>
      </c>
      <c r="T170" s="44"/>
      <c r="U170" s="38"/>
      <c r="V170" s="42" t="str">
        <f aca="true">IF(OR(C170="",W170=1,N170="Won",N170="Lost"),"",IF(ISNUMBER(R170),IF(R170&lt;=TODAY(),R170+ROW()/100000,""),""))</f>
        <v/>
      </c>
      <c r="W170" s="42" t="n">
        <f aca="false">IF(OR(L170="Y",AND(G170&lt;&gt;"",COUNTIF('Do not contact'!$A$6:$A$505,G170)&gt;0)),1,0)</f>
        <v>0</v>
      </c>
    </row>
    <row r="171" customFormat="false" ht="27.75" hidden="false" customHeight="true" outlineLevel="0" collapsed="false">
      <c r="A171" s="38"/>
      <c r="B171" s="39"/>
      <c r="C171" s="38"/>
      <c r="D171" s="38"/>
      <c r="E171" s="38"/>
      <c r="F171" s="38"/>
      <c r="G171" s="38"/>
      <c r="H171" s="40"/>
      <c r="I171" s="38"/>
      <c r="J171" s="38"/>
      <c r="K171" s="38"/>
      <c r="L171" s="41"/>
      <c r="M171" s="42" t="str">
        <f aca="false">IF(C171="","",IF(W171=1,"NO – opted out. Do not email.",IF(I171="","Pick a contact type",IF(LEFT(I171,4)="Sole",IF(OR(LEFT(J171,7)="Consent",LEFT(J171,4)="Soft"),"Yes – add opt-out + privacy link",IF(LEFT(J171,8)="Contract","Reply about their enquiry only","NO – needs consent first (PECR)")),"Yes – add opt-out + privacy link"))))</f>
        <v/>
      </c>
      <c r="N171" s="38"/>
      <c r="O171" s="39"/>
      <c r="P171" s="38"/>
      <c r="Q171" s="39"/>
      <c r="R171" s="43" t="str">
        <f aca="false">IF(C171="","",IF(Q171&lt;&gt;"",Q171,IF(OR(W171=1,N171="Won",N171="Lost",N171="Parked"),"",IF(O171&lt;&gt;"",O171+Lists!$N$2,IF(B171&lt;&gt;"",B171+Lists!$N$2,"")))))</f>
        <v/>
      </c>
      <c r="S171" s="42" t="str">
        <f aca="true">IF(C171="","",IF(W171=1,"Grey – do not email",IF(N171="Won","Won",IF(OR(N171="Lost",N171="Parked"),"Closed",IF(R171="","Amber – add next action",IF(R171&lt;TODAY(),"Red – overdue",IF(R171=TODAY(),"Red – due today",IF(R171-TODAY()&lt;=Lists!$N$3,"Amber – due soon","Green – on track"))))))))</f>
        <v/>
      </c>
      <c r="T171" s="44"/>
      <c r="U171" s="38"/>
      <c r="V171" s="42" t="str">
        <f aca="true">IF(OR(C171="",W171=1,N171="Won",N171="Lost"),"",IF(ISNUMBER(R171),IF(R171&lt;=TODAY(),R171+ROW()/100000,""),""))</f>
        <v/>
      </c>
      <c r="W171" s="42" t="n">
        <f aca="false">IF(OR(L171="Y",AND(G171&lt;&gt;"",COUNTIF('Do not contact'!$A$6:$A$505,G171)&gt;0)),1,0)</f>
        <v>0</v>
      </c>
    </row>
    <row r="172" customFormat="false" ht="27.75" hidden="false" customHeight="true" outlineLevel="0" collapsed="false">
      <c r="A172" s="38"/>
      <c r="B172" s="39"/>
      <c r="C172" s="38"/>
      <c r="D172" s="38"/>
      <c r="E172" s="38"/>
      <c r="F172" s="38"/>
      <c r="G172" s="38"/>
      <c r="H172" s="40"/>
      <c r="I172" s="38"/>
      <c r="J172" s="38"/>
      <c r="K172" s="38"/>
      <c r="L172" s="41"/>
      <c r="M172" s="42" t="str">
        <f aca="false">IF(C172="","",IF(W172=1,"NO – opted out. Do not email.",IF(I172="","Pick a contact type",IF(LEFT(I172,4)="Sole",IF(OR(LEFT(J172,7)="Consent",LEFT(J172,4)="Soft"),"Yes – add opt-out + privacy link",IF(LEFT(J172,8)="Contract","Reply about their enquiry only","NO – needs consent first (PECR)")),"Yes – add opt-out + privacy link"))))</f>
        <v/>
      </c>
      <c r="N172" s="38"/>
      <c r="O172" s="39"/>
      <c r="P172" s="38"/>
      <c r="Q172" s="39"/>
      <c r="R172" s="43" t="str">
        <f aca="false">IF(C172="","",IF(Q172&lt;&gt;"",Q172,IF(OR(W172=1,N172="Won",N172="Lost",N172="Parked"),"",IF(O172&lt;&gt;"",O172+Lists!$N$2,IF(B172&lt;&gt;"",B172+Lists!$N$2,"")))))</f>
        <v/>
      </c>
      <c r="S172" s="42" t="str">
        <f aca="true">IF(C172="","",IF(W172=1,"Grey – do not email",IF(N172="Won","Won",IF(OR(N172="Lost",N172="Parked"),"Closed",IF(R172="","Amber – add next action",IF(R172&lt;TODAY(),"Red – overdue",IF(R172=TODAY(),"Red – due today",IF(R172-TODAY()&lt;=Lists!$N$3,"Amber – due soon","Green – on track"))))))))</f>
        <v/>
      </c>
      <c r="T172" s="44"/>
      <c r="U172" s="38"/>
      <c r="V172" s="42" t="str">
        <f aca="true">IF(OR(C172="",W172=1,N172="Won",N172="Lost"),"",IF(ISNUMBER(R172),IF(R172&lt;=TODAY(),R172+ROW()/100000,""),""))</f>
        <v/>
      </c>
      <c r="W172" s="42" t="n">
        <f aca="false">IF(OR(L172="Y",AND(G172&lt;&gt;"",COUNTIF('Do not contact'!$A$6:$A$505,G172)&gt;0)),1,0)</f>
        <v>0</v>
      </c>
    </row>
    <row r="173" customFormat="false" ht="27.75" hidden="false" customHeight="true" outlineLevel="0" collapsed="false">
      <c r="A173" s="38"/>
      <c r="B173" s="39"/>
      <c r="C173" s="38"/>
      <c r="D173" s="38"/>
      <c r="E173" s="38"/>
      <c r="F173" s="38"/>
      <c r="G173" s="38"/>
      <c r="H173" s="40"/>
      <c r="I173" s="38"/>
      <c r="J173" s="38"/>
      <c r="K173" s="38"/>
      <c r="L173" s="41"/>
      <c r="M173" s="42" t="str">
        <f aca="false">IF(C173="","",IF(W173=1,"NO – opted out. Do not email.",IF(I173="","Pick a contact type",IF(LEFT(I173,4)="Sole",IF(OR(LEFT(J173,7)="Consent",LEFT(J173,4)="Soft"),"Yes – add opt-out + privacy link",IF(LEFT(J173,8)="Contract","Reply about their enquiry only","NO – needs consent first (PECR)")),"Yes – add opt-out + privacy link"))))</f>
        <v/>
      </c>
      <c r="N173" s="38"/>
      <c r="O173" s="39"/>
      <c r="P173" s="38"/>
      <c r="Q173" s="39"/>
      <c r="R173" s="43" t="str">
        <f aca="false">IF(C173="","",IF(Q173&lt;&gt;"",Q173,IF(OR(W173=1,N173="Won",N173="Lost",N173="Parked"),"",IF(O173&lt;&gt;"",O173+Lists!$N$2,IF(B173&lt;&gt;"",B173+Lists!$N$2,"")))))</f>
        <v/>
      </c>
      <c r="S173" s="42" t="str">
        <f aca="true">IF(C173="","",IF(W173=1,"Grey – do not email",IF(N173="Won","Won",IF(OR(N173="Lost",N173="Parked"),"Closed",IF(R173="","Amber – add next action",IF(R173&lt;TODAY(),"Red – overdue",IF(R173=TODAY(),"Red – due today",IF(R173-TODAY()&lt;=Lists!$N$3,"Amber – due soon","Green – on track"))))))))</f>
        <v/>
      </c>
      <c r="T173" s="44"/>
      <c r="U173" s="38"/>
      <c r="V173" s="42" t="str">
        <f aca="true">IF(OR(C173="",W173=1,N173="Won",N173="Lost"),"",IF(ISNUMBER(R173),IF(R173&lt;=TODAY(),R173+ROW()/100000,""),""))</f>
        <v/>
      </c>
      <c r="W173" s="42" t="n">
        <f aca="false">IF(OR(L173="Y",AND(G173&lt;&gt;"",COUNTIF('Do not contact'!$A$6:$A$505,G173)&gt;0)),1,0)</f>
        <v>0</v>
      </c>
    </row>
    <row r="174" customFormat="false" ht="27.75" hidden="false" customHeight="true" outlineLevel="0" collapsed="false">
      <c r="A174" s="38"/>
      <c r="B174" s="39"/>
      <c r="C174" s="38"/>
      <c r="D174" s="38"/>
      <c r="E174" s="38"/>
      <c r="F174" s="38"/>
      <c r="G174" s="38"/>
      <c r="H174" s="40"/>
      <c r="I174" s="38"/>
      <c r="J174" s="38"/>
      <c r="K174" s="38"/>
      <c r="L174" s="41"/>
      <c r="M174" s="42" t="str">
        <f aca="false">IF(C174="","",IF(W174=1,"NO – opted out. Do not email.",IF(I174="","Pick a contact type",IF(LEFT(I174,4)="Sole",IF(OR(LEFT(J174,7)="Consent",LEFT(J174,4)="Soft"),"Yes – add opt-out + privacy link",IF(LEFT(J174,8)="Contract","Reply about their enquiry only","NO – needs consent first (PECR)")),"Yes – add opt-out + privacy link"))))</f>
        <v/>
      </c>
      <c r="N174" s="38"/>
      <c r="O174" s="39"/>
      <c r="P174" s="38"/>
      <c r="Q174" s="39"/>
      <c r="R174" s="43" t="str">
        <f aca="false">IF(C174="","",IF(Q174&lt;&gt;"",Q174,IF(OR(W174=1,N174="Won",N174="Lost",N174="Parked"),"",IF(O174&lt;&gt;"",O174+Lists!$N$2,IF(B174&lt;&gt;"",B174+Lists!$N$2,"")))))</f>
        <v/>
      </c>
      <c r="S174" s="42" t="str">
        <f aca="true">IF(C174="","",IF(W174=1,"Grey – do not email",IF(N174="Won","Won",IF(OR(N174="Lost",N174="Parked"),"Closed",IF(R174="","Amber – add next action",IF(R174&lt;TODAY(),"Red – overdue",IF(R174=TODAY(),"Red – due today",IF(R174-TODAY()&lt;=Lists!$N$3,"Amber – due soon","Green – on track"))))))))</f>
        <v/>
      </c>
      <c r="T174" s="44"/>
      <c r="U174" s="38"/>
      <c r="V174" s="42" t="str">
        <f aca="true">IF(OR(C174="",W174=1,N174="Won",N174="Lost"),"",IF(ISNUMBER(R174),IF(R174&lt;=TODAY(),R174+ROW()/100000,""),""))</f>
        <v/>
      </c>
      <c r="W174" s="42" t="n">
        <f aca="false">IF(OR(L174="Y",AND(G174&lt;&gt;"",COUNTIF('Do not contact'!$A$6:$A$505,G174)&gt;0)),1,0)</f>
        <v>0</v>
      </c>
    </row>
    <row r="175" customFormat="false" ht="27.75" hidden="false" customHeight="true" outlineLevel="0" collapsed="false">
      <c r="A175" s="38"/>
      <c r="B175" s="39"/>
      <c r="C175" s="38"/>
      <c r="D175" s="38"/>
      <c r="E175" s="38"/>
      <c r="F175" s="38"/>
      <c r="G175" s="38"/>
      <c r="H175" s="40"/>
      <c r="I175" s="38"/>
      <c r="J175" s="38"/>
      <c r="K175" s="38"/>
      <c r="L175" s="41"/>
      <c r="M175" s="42" t="str">
        <f aca="false">IF(C175="","",IF(W175=1,"NO – opted out. Do not email.",IF(I175="","Pick a contact type",IF(LEFT(I175,4)="Sole",IF(OR(LEFT(J175,7)="Consent",LEFT(J175,4)="Soft"),"Yes – add opt-out + privacy link",IF(LEFT(J175,8)="Contract","Reply about their enquiry only","NO – needs consent first (PECR)")),"Yes – add opt-out + privacy link"))))</f>
        <v/>
      </c>
      <c r="N175" s="38"/>
      <c r="O175" s="39"/>
      <c r="P175" s="38"/>
      <c r="Q175" s="39"/>
      <c r="R175" s="43" t="str">
        <f aca="false">IF(C175="","",IF(Q175&lt;&gt;"",Q175,IF(OR(W175=1,N175="Won",N175="Lost",N175="Parked"),"",IF(O175&lt;&gt;"",O175+Lists!$N$2,IF(B175&lt;&gt;"",B175+Lists!$N$2,"")))))</f>
        <v/>
      </c>
      <c r="S175" s="42" t="str">
        <f aca="true">IF(C175="","",IF(W175=1,"Grey – do not email",IF(N175="Won","Won",IF(OR(N175="Lost",N175="Parked"),"Closed",IF(R175="","Amber – add next action",IF(R175&lt;TODAY(),"Red – overdue",IF(R175=TODAY(),"Red – due today",IF(R175-TODAY()&lt;=Lists!$N$3,"Amber – due soon","Green – on track"))))))))</f>
        <v/>
      </c>
      <c r="T175" s="44"/>
      <c r="U175" s="38"/>
      <c r="V175" s="42" t="str">
        <f aca="true">IF(OR(C175="",W175=1,N175="Won",N175="Lost"),"",IF(ISNUMBER(R175),IF(R175&lt;=TODAY(),R175+ROW()/100000,""),""))</f>
        <v/>
      </c>
      <c r="W175" s="42" t="n">
        <f aca="false">IF(OR(L175="Y",AND(G175&lt;&gt;"",COUNTIF('Do not contact'!$A$6:$A$505,G175)&gt;0)),1,0)</f>
        <v>0</v>
      </c>
    </row>
    <row r="176" customFormat="false" ht="27.75" hidden="false" customHeight="true" outlineLevel="0" collapsed="false">
      <c r="A176" s="38"/>
      <c r="B176" s="39"/>
      <c r="C176" s="38"/>
      <c r="D176" s="38"/>
      <c r="E176" s="38"/>
      <c r="F176" s="38"/>
      <c r="G176" s="38"/>
      <c r="H176" s="40"/>
      <c r="I176" s="38"/>
      <c r="J176" s="38"/>
      <c r="K176" s="38"/>
      <c r="L176" s="41"/>
      <c r="M176" s="42" t="str">
        <f aca="false">IF(C176="","",IF(W176=1,"NO – opted out. Do not email.",IF(I176="","Pick a contact type",IF(LEFT(I176,4)="Sole",IF(OR(LEFT(J176,7)="Consent",LEFT(J176,4)="Soft"),"Yes – add opt-out + privacy link",IF(LEFT(J176,8)="Contract","Reply about their enquiry only","NO – needs consent first (PECR)")),"Yes – add opt-out + privacy link"))))</f>
        <v/>
      </c>
      <c r="N176" s="38"/>
      <c r="O176" s="39"/>
      <c r="P176" s="38"/>
      <c r="Q176" s="39"/>
      <c r="R176" s="43" t="str">
        <f aca="false">IF(C176="","",IF(Q176&lt;&gt;"",Q176,IF(OR(W176=1,N176="Won",N176="Lost",N176="Parked"),"",IF(O176&lt;&gt;"",O176+Lists!$N$2,IF(B176&lt;&gt;"",B176+Lists!$N$2,"")))))</f>
        <v/>
      </c>
      <c r="S176" s="42" t="str">
        <f aca="true">IF(C176="","",IF(W176=1,"Grey – do not email",IF(N176="Won","Won",IF(OR(N176="Lost",N176="Parked"),"Closed",IF(R176="","Amber – add next action",IF(R176&lt;TODAY(),"Red – overdue",IF(R176=TODAY(),"Red – due today",IF(R176-TODAY()&lt;=Lists!$N$3,"Amber – due soon","Green – on track"))))))))</f>
        <v/>
      </c>
      <c r="T176" s="44"/>
      <c r="U176" s="38"/>
      <c r="V176" s="42" t="str">
        <f aca="true">IF(OR(C176="",W176=1,N176="Won",N176="Lost"),"",IF(ISNUMBER(R176),IF(R176&lt;=TODAY(),R176+ROW()/100000,""),""))</f>
        <v/>
      </c>
      <c r="W176" s="42" t="n">
        <f aca="false">IF(OR(L176="Y",AND(G176&lt;&gt;"",COUNTIF('Do not contact'!$A$6:$A$505,G176)&gt;0)),1,0)</f>
        <v>0</v>
      </c>
    </row>
    <row r="177" customFormat="false" ht="27.75" hidden="false" customHeight="true" outlineLevel="0" collapsed="false">
      <c r="A177" s="38"/>
      <c r="B177" s="39"/>
      <c r="C177" s="38"/>
      <c r="D177" s="38"/>
      <c r="E177" s="38"/>
      <c r="F177" s="38"/>
      <c r="G177" s="38"/>
      <c r="H177" s="40"/>
      <c r="I177" s="38"/>
      <c r="J177" s="38"/>
      <c r="K177" s="38"/>
      <c r="L177" s="41"/>
      <c r="M177" s="42" t="str">
        <f aca="false">IF(C177="","",IF(W177=1,"NO – opted out. Do not email.",IF(I177="","Pick a contact type",IF(LEFT(I177,4)="Sole",IF(OR(LEFT(J177,7)="Consent",LEFT(J177,4)="Soft"),"Yes – add opt-out + privacy link",IF(LEFT(J177,8)="Contract","Reply about their enquiry only","NO – needs consent first (PECR)")),"Yes – add opt-out + privacy link"))))</f>
        <v/>
      </c>
      <c r="N177" s="38"/>
      <c r="O177" s="39"/>
      <c r="P177" s="38"/>
      <c r="Q177" s="39"/>
      <c r="R177" s="43" t="str">
        <f aca="false">IF(C177="","",IF(Q177&lt;&gt;"",Q177,IF(OR(W177=1,N177="Won",N177="Lost",N177="Parked"),"",IF(O177&lt;&gt;"",O177+Lists!$N$2,IF(B177&lt;&gt;"",B177+Lists!$N$2,"")))))</f>
        <v/>
      </c>
      <c r="S177" s="42" t="str">
        <f aca="true">IF(C177="","",IF(W177=1,"Grey – do not email",IF(N177="Won","Won",IF(OR(N177="Lost",N177="Parked"),"Closed",IF(R177="","Amber – add next action",IF(R177&lt;TODAY(),"Red – overdue",IF(R177=TODAY(),"Red – due today",IF(R177-TODAY()&lt;=Lists!$N$3,"Amber – due soon","Green – on track"))))))))</f>
        <v/>
      </c>
      <c r="T177" s="44"/>
      <c r="U177" s="38"/>
      <c r="V177" s="42" t="str">
        <f aca="true">IF(OR(C177="",W177=1,N177="Won",N177="Lost"),"",IF(ISNUMBER(R177),IF(R177&lt;=TODAY(),R177+ROW()/100000,""),""))</f>
        <v/>
      </c>
      <c r="W177" s="42" t="n">
        <f aca="false">IF(OR(L177="Y",AND(G177&lt;&gt;"",COUNTIF('Do not contact'!$A$6:$A$505,G177)&gt;0)),1,0)</f>
        <v>0</v>
      </c>
    </row>
    <row r="178" customFormat="false" ht="27.75" hidden="false" customHeight="true" outlineLevel="0" collapsed="false">
      <c r="A178" s="38"/>
      <c r="B178" s="39"/>
      <c r="C178" s="38"/>
      <c r="D178" s="38"/>
      <c r="E178" s="38"/>
      <c r="F178" s="38"/>
      <c r="G178" s="38"/>
      <c r="H178" s="40"/>
      <c r="I178" s="38"/>
      <c r="J178" s="38"/>
      <c r="K178" s="38"/>
      <c r="L178" s="41"/>
      <c r="M178" s="42" t="str">
        <f aca="false">IF(C178="","",IF(W178=1,"NO – opted out. Do not email.",IF(I178="","Pick a contact type",IF(LEFT(I178,4)="Sole",IF(OR(LEFT(J178,7)="Consent",LEFT(J178,4)="Soft"),"Yes – add opt-out + privacy link",IF(LEFT(J178,8)="Contract","Reply about their enquiry only","NO – needs consent first (PECR)")),"Yes – add opt-out + privacy link"))))</f>
        <v/>
      </c>
      <c r="N178" s="38"/>
      <c r="O178" s="39"/>
      <c r="P178" s="38"/>
      <c r="Q178" s="39"/>
      <c r="R178" s="43" t="str">
        <f aca="false">IF(C178="","",IF(Q178&lt;&gt;"",Q178,IF(OR(W178=1,N178="Won",N178="Lost",N178="Parked"),"",IF(O178&lt;&gt;"",O178+Lists!$N$2,IF(B178&lt;&gt;"",B178+Lists!$N$2,"")))))</f>
        <v/>
      </c>
      <c r="S178" s="42" t="str">
        <f aca="true">IF(C178="","",IF(W178=1,"Grey – do not email",IF(N178="Won","Won",IF(OR(N178="Lost",N178="Parked"),"Closed",IF(R178="","Amber – add next action",IF(R178&lt;TODAY(),"Red – overdue",IF(R178=TODAY(),"Red – due today",IF(R178-TODAY()&lt;=Lists!$N$3,"Amber – due soon","Green – on track"))))))))</f>
        <v/>
      </c>
      <c r="T178" s="44"/>
      <c r="U178" s="38"/>
      <c r="V178" s="42" t="str">
        <f aca="true">IF(OR(C178="",W178=1,N178="Won",N178="Lost"),"",IF(ISNUMBER(R178),IF(R178&lt;=TODAY(),R178+ROW()/100000,""),""))</f>
        <v/>
      </c>
      <c r="W178" s="42" t="n">
        <f aca="false">IF(OR(L178="Y",AND(G178&lt;&gt;"",COUNTIF('Do not contact'!$A$6:$A$505,G178)&gt;0)),1,0)</f>
        <v>0</v>
      </c>
    </row>
    <row r="179" customFormat="false" ht="27.75" hidden="false" customHeight="true" outlineLevel="0" collapsed="false">
      <c r="A179" s="38"/>
      <c r="B179" s="39"/>
      <c r="C179" s="38"/>
      <c r="D179" s="38"/>
      <c r="E179" s="38"/>
      <c r="F179" s="38"/>
      <c r="G179" s="38"/>
      <c r="H179" s="40"/>
      <c r="I179" s="38"/>
      <c r="J179" s="38"/>
      <c r="K179" s="38"/>
      <c r="L179" s="41"/>
      <c r="M179" s="42" t="str">
        <f aca="false">IF(C179="","",IF(W179=1,"NO – opted out. Do not email.",IF(I179="","Pick a contact type",IF(LEFT(I179,4)="Sole",IF(OR(LEFT(J179,7)="Consent",LEFT(J179,4)="Soft"),"Yes – add opt-out + privacy link",IF(LEFT(J179,8)="Contract","Reply about their enquiry only","NO – needs consent first (PECR)")),"Yes – add opt-out + privacy link"))))</f>
        <v/>
      </c>
      <c r="N179" s="38"/>
      <c r="O179" s="39"/>
      <c r="P179" s="38"/>
      <c r="Q179" s="39"/>
      <c r="R179" s="43" t="str">
        <f aca="false">IF(C179="","",IF(Q179&lt;&gt;"",Q179,IF(OR(W179=1,N179="Won",N179="Lost",N179="Parked"),"",IF(O179&lt;&gt;"",O179+Lists!$N$2,IF(B179&lt;&gt;"",B179+Lists!$N$2,"")))))</f>
        <v/>
      </c>
      <c r="S179" s="42" t="str">
        <f aca="true">IF(C179="","",IF(W179=1,"Grey – do not email",IF(N179="Won","Won",IF(OR(N179="Lost",N179="Parked"),"Closed",IF(R179="","Amber – add next action",IF(R179&lt;TODAY(),"Red – overdue",IF(R179=TODAY(),"Red – due today",IF(R179-TODAY()&lt;=Lists!$N$3,"Amber – due soon","Green – on track"))))))))</f>
        <v/>
      </c>
      <c r="T179" s="44"/>
      <c r="U179" s="38"/>
      <c r="V179" s="42" t="str">
        <f aca="true">IF(OR(C179="",W179=1,N179="Won",N179="Lost"),"",IF(ISNUMBER(R179),IF(R179&lt;=TODAY(),R179+ROW()/100000,""),""))</f>
        <v/>
      </c>
      <c r="W179" s="42" t="n">
        <f aca="false">IF(OR(L179="Y",AND(G179&lt;&gt;"",COUNTIF('Do not contact'!$A$6:$A$505,G179)&gt;0)),1,0)</f>
        <v>0</v>
      </c>
    </row>
    <row r="180" customFormat="false" ht="27.75" hidden="false" customHeight="true" outlineLevel="0" collapsed="false">
      <c r="A180" s="38"/>
      <c r="B180" s="39"/>
      <c r="C180" s="38"/>
      <c r="D180" s="38"/>
      <c r="E180" s="38"/>
      <c r="F180" s="38"/>
      <c r="G180" s="38"/>
      <c r="H180" s="40"/>
      <c r="I180" s="38"/>
      <c r="J180" s="38"/>
      <c r="K180" s="38"/>
      <c r="L180" s="41"/>
      <c r="M180" s="42" t="str">
        <f aca="false">IF(C180="","",IF(W180=1,"NO – opted out. Do not email.",IF(I180="","Pick a contact type",IF(LEFT(I180,4)="Sole",IF(OR(LEFT(J180,7)="Consent",LEFT(J180,4)="Soft"),"Yes – add opt-out + privacy link",IF(LEFT(J180,8)="Contract","Reply about their enquiry only","NO – needs consent first (PECR)")),"Yes – add opt-out + privacy link"))))</f>
        <v/>
      </c>
      <c r="N180" s="38"/>
      <c r="O180" s="39"/>
      <c r="P180" s="38"/>
      <c r="Q180" s="39"/>
      <c r="R180" s="43" t="str">
        <f aca="false">IF(C180="","",IF(Q180&lt;&gt;"",Q180,IF(OR(W180=1,N180="Won",N180="Lost",N180="Parked"),"",IF(O180&lt;&gt;"",O180+Lists!$N$2,IF(B180&lt;&gt;"",B180+Lists!$N$2,"")))))</f>
        <v/>
      </c>
      <c r="S180" s="42" t="str">
        <f aca="true">IF(C180="","",IF(W180=1,"Grey – do not email",IF(N180="Won","Won",IF(OR(N180="Lost",N180="Parked"),"Closed",IF(R180="","Amber – add next action",IF(R180&lt;TODAY(),"Red – overdue",IF(R180=TODAY(),"Red – due today",IF(R180-TODAY()&lt;=Lists!$N$3,"Amber – due soon","Green – on track"))))))))</f>
        <v/>
      </c>
      <c r="T180" s="44"/>
      <c r="U180" s="38"/>
      <c r="V180" s="42" t="str">
        <f aca="true">IF(OR(C180="",W180=1,N180="Won",N180="Lost"),"",IF(ISNUMBER(R180),IF(R180&lt;=TODAY(),R180+ROW()/100000,""),""))</f>
        <v/>
      </c>
      <c r="W180" s="42" t="n">
        <f aca="false">IF(OR(L180="Y",AND(G180&lt;&gt;"",COUNTIF('Do not contact'!$A$6:$A$505,G180)&gt;0)),1,0)</f>
        <v>0</v>
      </c>
    </row>
    <row r="181" customFormat="false" ht="27.75" hidden="false" customHeight="true" outlineLevel="0" collapsed="false">
      <c r="A181" s="38"/>
      <c r="B181" s="39"/>
      <c r="C181" s="38"/>
      <c r="D181" s="38"/>
      <c r="E181" s="38"/>
      <c r="F181" s="38"/>
      <c r="G181" s="38"/>
      <c r="H181" s="40"/>
      <c r="I181" s="38"/>
      <c r="J181" s="38"/>
      <c r="K181" s="38"/>
      <c r="L181" s="41"/>
      <c r="M181" s="42" t="str">
        <f aca="false">IF(C181="","",IF(W181=1,"NO – opted out. Do not email.",IF(I181="","Pick a contact type",IF(LEFT(I181,4)="Sole",IF(OR(LEFT(J181,7)="Consent",LEFT(J181,4)="Soft"),"Yes – add opt-out + privacy link",IF(LEFT(J181,8)="Contract","Reply about their enquiry only","NO – needs consent first (PECR)")),"Yes – add opt-out + privacy link"))))</f>
        <v/>
      </c>
      <c r="N181" s="38"/>
      <c r="O181" s="39"/>
      <c r="P181" s="38"/>
      <c r="Q181" s="39"/>
      <c r="R181" s="43" t="str">
        <f aca="false">IF(C181="","",IF(Q181&lt;&gt;"",Q181,IF(OR(W181=1,N181="Won",N181="Lost",N181="Parked"),"",IF(O181&lt;&gt;"",O181+Lists!$N$2,IF(B181&lt;&gt;"",B181+Lists!$N$2,"")))))</f>
        <v/>
      </c>
      <c r="S181" s="42" t="str">
        <f aca="true">IF(C181="","",IF(W181=1,"Grey – do not email",IF(N181="Won","Won",IF(OR(N181="Lost",N181="Parked"),"Closed",IF(R181="","Amber – add next action",IF(R181&lt;TODAY(),"Red – overdue",IF(R181=TODAY(),"Red – due today",IF(R181-TODAY()&lt;=Lists!$N$3,"Amber – due soon","Green – on track"))))))))</f>
        <v/>
      </c>
      <c r="T181" s="44"/>
      <c r="U181" s="38"/>
      <c r="V181" s="42" t="str">
        <f aca="true">IF(OR(C181="",W181=1,N181="Won",N181="Lost"),"",IF(ISNUMBER(R181),IF(R181&lt;=TODAY(),R181+ROW()/100000,""),""))</f>
        <v/>
      </c>
      <c r="W181" s="42" t="n">
        <f aca="false">IF(OR(L181="Y",AND(G181&lt;&gt;"",COUNTIF('Do not contact'!$A$6:$A$505,G181)&gt;0)),1,0)</f>
        <v>0</v>
      </c>
    </row>
    <row r="182" customFormat="false" ht="27.75" hidden="false" customHeight="true" outlineLevel="0" collapsed="false">
      <c r="A182" s="38"/>
      <c r="B182" s="39"/>
      <c r="C182" s="38"/>
      <c r="D182" s="38"/>
      <c r="E182" s="38"/>
      <c r="F182" s="38"/>
      <c r="G182" s="38"/>
      <c r="H182" s="40"/>
      <c r="I182" s="38"/>
      <c r="J182" s="38"/>
      <c r="K182" s="38"/>
      <c r="L182" s="41"/>
      <c r="M182" s="42" t="str">
        <f aca="false">IF(C182="","",IF(W182=1,"NO – opted out. Do not email.",IF(I182="","Pick a contact type",IF(LEFT(I182,4)="Sole",IF(OR(LEFT(J182,7)="Consent",LEFT(J182,4)="Soft"),"Yes – add opt-out + privacy link",IF(LEFT(J182,8)="Contract","Reply about their enquiry only","NO – needs consent first (PECR)")),"Yes – add opt-out + privacy link"))))</f>
        <v/>
      </c>
      <c r="N182" s="38"/>
      <c r="O182" s="39"/>
      <c r="P182" s="38"/>
      <c r="Q182" s="39"/>
      <c r="R182" s="43" t="str">
        <f aca="false">IF(C182="","",IF(Q182&lt;&gt;"",Q182,IF(OR(W182=1,N182="Won",N182="Lost",N182="Parked"),"",IF(O182&lt;&gt;"",O182+Lists!$N$2,IF(B182&lt;&gt;"",B182+Lists!$N$2,"")))))</f>
        <v/>
      </c>
      <c r="S182" s="42" t="str">
        <f aca="true">IF(C182="","",IF(W182=1,"Grey – do not email",IF(N182="Won","Won",IF(OR(N182="Lost",N182="Parked"),"Closed",IF(R182="","Amber – add next action",IF(R182&lt;TODAY(),"Red – overdue",IF(R182=TODAY(),"Red – due today",IF(R182-TODAY()&lt;=Lists!$N$3,"Amber – due soon","Green – on track"))))))))</f>
        <v/>
      </c>
      <c r="T182" s="44"/>
      <c r="U182" s="38"/>
      <c r="V182" s="42" t="str">
        <f aca="true">IF(OR(C182="",W182=1,N182="Won",N182="Lost"),"",IF(ISNUMBER(R182),IF(R182&lt;=TODAY(),R182+ROW()/100000,""),""))</f>
        <v/>
      </c>
      <c r="W182" s="42" t="n">
        <f aca="false">IF(OR(L182="Y",AND(G182&lt;&gt;"",COUNTIF('Do not contact'!$A$6:$A$505,G182)&gt;0)),1,0)</f>
        <v>0</v>
      </c>
    </row>
    <row r="183" customFormat="false" ht="27.75" hidden="false" customHeight="true" outlineLevel="0" collapsed="false">
      <c r="A183" s="38"/>
      <c r="B183" s="39"/>
      <c r="C183" s="38"/>
      <c r="D183" s="38"/>
      <c r="E183" s="38"/>
      <c r="F183" s="38"/>
      <c r="G183" s="38"/>
      <c r="H183" s="40"/>
      <c r="I183" s="38"/>
      <c r="J183" s="38"/>
      <c r="K183" s="38"/>
      <c r="L183" s="41"/>
      <c r="M183" s="42" t="str">
        <f aca="false">IF(C183="","",IF(W183=1,"NO – opted out. Do not email.",IF(I183="","Pick a contact type",IF(LEFT(I183,4)="Sole",IF(OR(LEFT(J183,7)="Consent",LEFT(J183,4)="Soft"),"Yes – add opt-out + privacy link",IF(LEFT(J183,8)="Contract","Reply about their enquiry only","NO – needs consent first (PECR)")),"Yes – add opt-out + privacy link"))))</f>
        <v/>
      </c>
      <c r="N183" s="38"/>
      <c r="O183" s="39"/>
      <c r="P183" s="38"/>
      <c r="Q183" s="39"/>
      <c r="R183" s="43" t="str">
        <f aca="false">IF(C183="","",IF(Q183&lt;&gt;"",Q183,IF(OR(W183=1,N183="Won",N183="Lost",N183="Parked"),"",IF(O183&lt;&gt;"",O183+Lists!$N$2,IF(B183&lt;&gt;"",B183+Lists!$N$2,"")))))</f>
        <v/>
      </c>
      <c r="S183" s="42" t="str">
        <f aca="true">IF(C183="","",IF(W183=1,"Grey – do not email",IF(N183="Won","Won",IF(OR(N183="Lost",N183="Parked"),"Closed",IF(R183="","Amber – add next action",IF(R183&lt;TODAY(),"Red – overdue",IF(R183=TODAY(),"Red – due today",IF(R183-TODAY()&lt;=Lists!$N$3,"Amber – due soon","Green – on track"))))))))</f>
        <v/>
      </c>
      <c r="T183" s="44"/>
      <c r="U183" s="38"/>
      <c r="V183" s="42" t="str">
        <f aca="true">IF(OR(C183="",W183=1,N183="Won",N183="Lost"),"",IF(ISNUMBER(R183),IF(R183&lt;=TODAY(),R183+ROW()/100000,""),""))</f>
        <v/>
      </c>
      <c r="W183" s="42" t="n">
        <f aca="false">IF(OR(L183="Y",AND(G183&lt;&gt;"",COUNTIF('Do not contact'!$A$6:$A$505,G183)&gt;0)),1,0)</f>
        <v>0</v>
      </c>
    </row>
    <row r="184" customFormat="false" ht="27.75" hidden="false" customHeight="true" outlineLevel="0" collapsed="false">
      <c r="A184" s="38"/>
      <c r="B184" s="39"/>
      <c r="C184" s="38"/>
      <c r="D184" s="38"/>
      <c r="E184" s="38"/>
      <c r="F184" s="38"/>
      <c r="G184" s="38"/>
      <c r="H184" s="40"/>
      <c r="I184" s="38"/>
      <c r="J184" s="38"/>
      <c r="K184" s="38"/>
      <c r="L184" s="41"/>
      <c r="M184" s="42" t="str">
        <f aca="false">IF(C184="","",IF(W184=1,"NO – opted out. Do not email.",IF(I184="","Pick a contact type",IF(LEFT(I184,4)="Sole",IF(OR(LEFT(J184,7)="Consent",LEFT(J184,4)="Soft"),"Yes – add opt-out + privacy link",IF(LEFT(J184,8)="Contract","Reply about their enquiry only","NO – needs consent first (PECR)")),"Yes – add opt-out + privacy link"))))</f>
        <v/>
      </c>
      <c r="N184" s="38"/>
      <c r="O184" s="39"/>
      <c r="P184" s="38"/>
      <c r="Q184" s="39"/>
      <c r="R184" s="43" t="str">
        <f aca="false">IF(C184="","",IF(Q184&lt;&gt;"",Q184,IF(OR(W184=1,N184="Won",N184="Lost",N184="Parked"),"",IF(O184&lt;&gt;"",O184+Lists!$N$2,IF(B184&lt;&gt;"",B184+Lists!$N$2,"")))))</f>
        <v/>
      </c>
      <c r="S184" s="42" t="str">
        <f aca="true">IF(C184="","",IF(W184=1,"Grey – do not email",IF(N184="Won","Won",IF(OR(N184="Lost",N184="Parked"),"Closed",IF(R184="","Amber – add next action",IF(R184&lt;TODAY(),"Red – overdue",IF(R184=TODAY(),"Red – due today",IF(R184-TODAY()&lt;=Lists!$N$3,"Amber – due soon","Green – on track"))))))))</f>
        <v/>
      </c>
      <c r="T184" s="44"/>
      <c r="U184" s="38"/>
      <c r="V184" s="42" t="str">
        <f aca="true">IF(OR(C184="",W184=1,N184="Won",N184="Lost"),"",IF(ISNUMBER(R184),IF(R184&lt;=TODAY(),R184+ROW()/100000,""),""))</f>
        <v/>
      </c>
      <c r="W184" s="42" t="n">
        <f aca="false">IF(OR(L184="Y",AND(G184&lt;&gt;"",COUNTIF('Do not contact'!$A$6:$A$505,G184)&gt;0)),1,0)</f>
        <v>0</v>
      </c>
    </row>
    <row r="185" customFormat="false" ht="27.75" hidden="false" customHeight="true" outlineLevel="0" collapsed="false">
      <c r="A185" s="38"/>
      <c r="B185" s="39"/>
      <c r="C185" s="38"/>
      <c r="D185" s="38"/>
      <c r="E185" s="38"/>
      <c r="F185" s="38"/>
      <c r="G185" s="38"/>
      <c r="H185" s="40"/>
      <c r="I185" s="38"/>
      <c r="J185" s="38"/>
      <c r="K185" s="38"/>
      <c r="L185" s="41"/>
      <c r="M185" s="42" t="str">
        <f aca="false">IF(C185="","",IF(W185=1,"NO – opted out. Do not email.",IF(I185="","Pick a contact type",IF(LEFT(I185,4)="Sole",IF(OR(LEFT(J185,7)="Consent",LEFT(J185,4)="Soft"),"Yes – add opt-out + privacy link",IF(LEFT(J185,8)="Contract","Reply about their enquiry only","NO – needs consent first (PECR)")),"Yes – add opt-out + privacy link"))))</f>
        <v/>
      </c>
      <c r="N185" s="38"/>
      <c r="O185" s="39"/>
      <c r="P185" s="38"/>
      <c r="Q185" s="39"/>
      <c r="R185" s="43" t="str">
        <f aca="false">IF(C185="","",IF(Q185&lt;&gt;"",Q185,IF(OR(W185=1,N185="Won",N185="Lost",N185="Parked"),"",IF(O185&lt;&gt;"",O185+Lists!$N$2,IF(B185&lt;&gt;"",B185+Lists!$N$2,"")))))</f>
        <v/>
      </c>
      <c r="S185" s="42" t="str">
        <f aca="true">IF(C185="","",IF(W185=1,"Grey – do not email",IF(N185="Won","Won",IF(OR(N185="Lost",N185="Parked"),"Closed",IF(R185="","Amber – add next action",IF(R185&lt;TODAY(),"Red – overdue",IF(R185=TODAY(),"Red – due today",IF(R185-TODAY()&lt;=Lists!$N$3,"Amber – due soon","Green – on track"))))))))</f>
        <v/>
      </c>
      <c r="T185" s="44"/>
      <c r="U185" s="38"/>
      <c r="V185" s="42" t="str">
        <f aca="true">IF(OR(C185="",W185=1,N185="Won",N185="Lost"),"",IF(ISNUMBER(R185),IF(R185&lt;=TODAY(),R185+ROW()/100000,""),""))</f>
        <v/>
      </c>
      <c r="W185" s="42" t="n">
        <f aca="false">IF(OR(L185="Y",AND(G185&lt;&gt;"",COUNTIF('Do not contact'!$A$6:$A$505,G185)&gt;0)),1,0)</f>
        <v>0</v>
      </c>
    </row>
    <row r="186" customFormat="false" ht="27.75" hidden="false" customHeight="true" outlineLevel="0" collapsed="false">
      <c r="A186" s="38"/>
      <c r="B186" s="39"/>
      <c r="C186" s="38"/>
      <c r="D186" s="38"/>
      <c r="E186" s="38"/>
      <c r="F186" s="38"/>
      <c r="G186" s="38"/>
      <c r="H186" s="40"/>
      <c r="I186" s="38"/>
      <c r="J186" s="38"/>
      <c r="K186" s="38"/>
      <c r="L186" s="41"/>
      <c r="M186" s="42" t="str">
        <f aca="false">IF(C186="","",IF(W186=1,"NO – opted out. Do not email.",IF(I186="","Pick a contact type",IF(LEFT(I186,4)="Sole",IF(OR(LEFT(J186,7)="Consent",LEFT(J186,4)="Soft"),"Yes – add opt-out + privacy link",IF(LEFT(J186,8)="Contract","Reply about their enquiry only","NO – needs consent first (PECR)")),"Yes – add opt-out + privacy link"))))</f>
        <v/>
      </c>
      <c r="N186" s="38"/>
      <c r="O186" s="39"/>
      <c r="P186" s="38"/>
      <c r="Q186" s="39"/>
      <c r="R186" s="43" t="str">
        <f aca="false">IF(C186="","",IF(Q186&lt;&gt;"",Q186,IF(OR(W186=1,N186="Won",N186="Lost",N186="Parked"),"",IF(O186&lt;&gt;"",O186+Lists!$N$2,IF(B186&lt;&gt;"",B186+Lists!$N$2,"")))))</f>
        <v/>
      </c>
      <c r="S186" s="42" t="str">
        <f aca="true">IF(C186="","",IF(W186=1,"Grey – do not email",IF(N186="Won","Won",IF(OR(N186="Lost",N186="Parked"),"Closed",IF(R186="","Amber – add next action",IF(R186&lt;TODAY(),"Red – overdue",IF(R186=TODAY(),"Red – due today",IF(R186-TODAY()&lt;=Lists!$N$3,"Amber – due soon","Green – on track"))))))))</f>
        <v/>
      </c>
      <c r="T186" s="44"/>
      <c r="U186" s="38"/>
      <c r="V186" s="42" t="str">
        <f aca="true">IF(OR(C186="",W186=1,N186="Won",N186="Lost"),"",IF(ISNUMBER(R186),IF(R186&lt;=TODAY(),R186+ROW()/100000,""),""))</f>
        <v/>
      </c>
      <c r="W186" s="42" t="n">
        <f aca="false">IF(OR(L186="Y",AND(G186&lt;&gt;"",COUNTIF('Do not contact'!$A$6:$A$505,G186)&gt;0)),1,0)</f>
        <v>0</v>
      </c>
    </row>
    <row r="187" customFormat="false" ht="27.75" hidden="false" customHeight="true" outlineLevel="0" collapsed="false">
      <c r="A187" s="38"/>
      <c r="B187" s="39"/>
      <c r="C187" s="38"/>
      <c r="D187" s="38"/>
      <c r="E187" s="38"/>
      <c r="F187" s="38"/>
      <c r="G187" s="38"/>
      <c r="H187" s="40"/>
      <c r="I187" s="38"/>
      <c r="J187" s="38"/>
      <c r="K187" s="38"/>
      <c r="L187" s="41"/>
      <c r="M187" s="42" t="str">
        <f aca="false">IF(C187="","",IF(W187=1,"NO – opted out. Do not email.",IF(I187="","Pick a contact type",IF(LEFT(I187,4)="Sole",IF(OR(LEFT(J187,7)="Consent",LEFT(J187,4)="Soft"),"Yes – add opt-out + privacy link",IF(LEFT(J187,8)="Contract","Reply about their enquiry only","NO – needs consent first (PECR)")),"Yes – add opt-out + privacy link"))))</f>
        <v/>
      </c>
      <c r="N187" s="38"/>
      <c r="O187" s="39"/>
      <c r="P187" s="38"/>
      <c r="Q187" s="39"/>
      <c r="R187" s="43" t="str">
        <f aca="false">IF(C187="","",IF(Q187&lt;&gt;"",Q187,IF(OR(W187=1,N187="Won",N187="Lost",N187="Parked"),"",IF(O187&lt;&gt;"",O187+Lists!$N$2,IF(B187&lt;&gt;"",B187+Lists!$N$2,"")))))</f>
        <v/>
      </c>
      <c r="S187" s="42" t="str">
        <f aca="true">IF(C187="","",IF(W187=1,"Grey – do not email",IF(N187="Won","Won",IF(OR(N187="Lost",N187="Parked"),"Closed",IF(R187="","Amber – add next action",IF(R187&lt;TODAY(),"Red – overdue",IF(R187=TODAY(),"Red – due today",IF(R187-TODAY()&lt;=Lists!$N$3,"Amber – due soon","Green – on track"))))))))</f>
        <v/>
      </c>
      <c r="T187" s="44"/>
      <c r="U187" s="38"/>
      <c r="V187" s="42" t="str">
        <f aca="true">IF(OR(C187="",W187=1,N187="Won",N187="Lost"),"",IF(ISNUMBER(R187),IF(R187&lt;=TODAY(),R187+ROW()/100000,""),""))</f>
        <v/>
      </c>
      <c r="W187" s="42" t="n">
        <f aca="false">IF(OR(L187="Y",AND(G187&lt;&gt;"",COUNTIF('Do not contact'!$A$6:$A$505,G187)&gt;0)),1,0)</f>
        <v>0</v>
      </c>
    </row>
    <row r="188" customFormat="false" ht="27.75" hidden="false" customHeight="true" outlineLevel="0" collapsed="false">
      <c r="A188" s="38"/>
      <c r="B188" s="39"/>
      <c r="C188" s="38"/>
      <c r="D188" s="38"/>
      <c r="E188" s="38"/>
      <c r="F188" s="38"/>
      <c r="G188" s="38"/>
      <c r="H188" s="40"/>
      <c r="I188" s="38"/>
      <c r="J188" s="38"/>
      <c r="K188" s="38"/>
      <c r="L188" s="41"/>
      <c r="M188" s="42" t="str">
        <f aca="false">IF(C188="","",IF(W188=1,"NO – opted out. Do not email.",IF(I188="","Pick a contact type",IF(LEFT(I188,4)="Sole",IF(OR(LEFT(J188,7)="Consent",LEFT(J188,4)="Soft"),"Yes – add opt-out + privacy link",IF(LEFT(J188,8)="Contract","Reply about their enquiry only","NO – needs consent first (PECR)")),"Yes – add opt-out + privacy link"))))</f>
        <v/>
      </c>
      <c r="N188" s="38"/>
      <c r="O188" s="39"/>
      <c r="P188" s="38"/>
      <c r="Q188" s="39"/>
      <c r="R188" s="43" t="str">
        <f aca="false">IF(C188="","",IF(Q188&lt;&gt;"",Q188,IF(OR(W188=1,N188="Won",N188="Lost",N188="Parked"),"",IF(O188&lt;&gt;"",O188+Lists!$N$2,IF(B188&lt;&gt;"",B188+Lists!$N$2,"")))))</f>
        <v/>
      </c>
      <c r="S188" s="42" t="str">
        <f aca="true">IF(C188="","",IF(W188=1,"Grey – do not email",IF(N188="Won","Won",IF(OR(N188="Lost",N188="Parked"),"Closed",IF(R188="","Amber – add next action",IF(R188&lt;TODAY(),"Red – overdue",IF(R188=TODAY(),"Red – due today",IF(R188-TODAY()&lt;=Lists!$N$3,"Amber – due soon","Green – on track"))))))))</f>
        <v/>
      </c>
      <c r="T188" s="44"/>
      <c r="U188" s="38"/>
      <c r="V188" s="42" t="str">
        <f aca="true">IF(OR(C188="",W188=1,N188="Won",N188="Lost"),"",IF(ISNUMBER(R188),IF(R188&lt;=TODAY(),R188+ROW()/100000,""),""))</f>
        <v/>
      </c>
      <c r="W188" s="42" t="n">
        <f aca="false">IF(OR(L188="Y",AND(G188&lt;&gt;"",COUNTIF('Do not contact'!$A$6:$A$505,G188)&gt;0)),1,0)</f>
        <v>0</v>
      </c>
    </row>
    <row r="189" customFormat="false" ht="27.75" hidden="false" customHeight="true" outlineLevel="0" collapsed="false">
      <c r="A189" s="38"/>
      <c r="B189" s="39"/>
      <c r="C189" s="38"/>
      <c r="D189" s="38"/>
      <c r="E189" s="38"/>
      <c r="F189" s="38"/>
      <c r="G189" s="38"/>
      <c r="H189" s="40"/>
      <c r="I189" s="38"/>
      <c r="J189" s="38"/>
      <c r="K189" s="38"/>
      <c r="L189" s="41"/>
      <c r="M189" s="42" t="str">
        <f aca="false">IF(C189="","",IF(W189=1,"NO – opted out. Do not email.",IF(I189="","Pick a contact type",IF(LEFT(I189,4)="Sole",IF(OR(LEFT(J189,7)="Consent",LEFT(J189,4)="Soft"),"Yes – add opt-out + privacy link",IF(LEFT(J189,8)="Contract","Reply about their enquiry only","NO – needs consent first (PECR)")),"Yes – add opt-out + privacy link"))))</f>
        <v/>
      </c>
      <c r="N189" s="38"/>
      <c r="O189" s="39"/>
      <c r="P189" s="38"/>
      <c r="Q189" s="39"/>
      <c r="R189" s="43" t="str">
        <f aca="false">IF(C189="","",IF(Q189&lt;&gt;"",Q189,IF(OR(W189=1,N189="Won",N189="Lost",N189="Parked"),"",IF(O189&lt;&gt;"",O189+Lists!$N$2,IF(B189&lt;&gt;"",B189+Lists!$N$2,"")))))</f>
        <v/>
      </c>
      <c r="S189" s="42" t="str">
        <f aca="true">IF(C189="","",IF(W189=1,"Grey – do not email",IF(N189="Won","Won",IF(OR(N189="Lost",N189="Parked"),"Closed",IF(R189="","Amber – add next action",IF(R189&lt;TODAY(),"Red – overdue",IF(R189=TODAY(),"Red – due today",IF(R189-TODAY()&lt;=Lists!$N$3,"Amber – due soon","Green – on track"))))))))</f>
        <v/>
      </c>
      <c r="T189" s="44"/>
      <c r="U189" s="38"/>
      <c r="V189" s="42" t="str">
        <f aca="true">IF(OR(C189="",W189=1,N189="Won",N189="Lost"),"",IF(ISNUMBER(R189),IF(R189&lt;=TODAY(),R189+ROW()/100000,""),""))</f>
        <v/>
      </c>
      <c r="W189" s="42" t="n">
        <f aca="false">IF(OR(L189="Y",AND(G189&lt;&gt;"",COUNTIF('Do not contact'!$A$6:$A$505,G189)&gt;0)),1,0)</f>
        <v>0</v>
      </c>
    </row>
    <row r="190" customFormat="false" ht="27.75" hidden="false" customHeight="true" outlineLevel="0" collapsed="false">
      <c r="A190" s="38"/>
      <c r="B190" s="39"/>
      <c r="C190" s="38"/>
      <c r="D190" s="38"/>
      <c r="E190" s="38"/>
      <c r="F190" s="38"/>
      <c r="G190" s="38"/>
      <c r="H190" s="40"/>
      <c r="I190" s="38"/>
      <c r="J190" s="38"/>
      <c r="K190" s="38"/>
      <c r="L190" s="41"/>
      <c r="M190" s="42" t="str">
        <f aca="false">IF(C190="","",IF(W190=1,"NO – opted out. Do not email.",IF(I190="","Pick a contact type",IF(LEFT(I190,4)="Sole",IF(OR(LEFT(J190,7)="Consent",LEFT(J190,4)="Soft"),"Yes – add opt-out + privacy link",IF(LEFT(J190,8)="Contract","Reply about their enquiry only","NO – needs consent first (PECR)")),"Yes – add opt-out + privacy link"))))</f>
        <v/>
      </c>
      <c r="N190" s="38"/>
      <c r="O190" s="39"/>
      <c r="P190" s="38"/>
      <c r="Q190" s="39"/>
      <c r="R190" s="43" t="str">
        <f aca="false">IF(C190="","",IF(Q190&lt;&gt;"",Q190,IF(OR(W190=1,N190="Won",N190="Lost",N190="Parked"),"",IF(O190&lt;&gt;"",O190+Lists!$N$2,IF(B190&lt;&gt;"",B190+Lists!$N$2,"")))))</f>
        <v/>
      </c>
      <c r="S190" s="42" t="str">
        <f aca="true">IF(C190="","",IF(W190=1,"Grey – do not email",IF(N190="Won","Won",IF(OR(N190="Lost",N190="Parked"),"Closed",IF(R190="","Amber – add next action",IF(R190&lt;TODAY(),"Red – overdue",IF(R190=TODAY(),"Red – due today",IF(R190-TODAY()&lt;=Lists!$N$3,"Amber – due soon","Green – on track"))))))))</f>
        <v/>
      </c>
      <c r="T190" s="44"/>
      <c r="U190" s="38"/>
      <c r="V190" s="42" t="str">
        <f aca="true">IF(OR(C190="",W190=1,N190="Won",N190="Lost"),"",IF(ISNUMBER(R190),IF(R190&lt;=TODAY(),R190+ROW()/100000,""),""))</f>
        <v/>
      </c>
      <c r="W190" s="42" t="n">
        <f aca="false">IF(OR(L190="Y",AND(G190&lt;&gt;"",COUNTIF('Do not contact'!$A$6:$A$505,G190)&gt;0)),1,0)</f>
        <v>0</v>
      </c>
    </row>
    <row r="191" customFormat="false" ht="27.75" hidden="false" customHeight="true" outlineLevel="0" collapsed="false">
      <c r="A191" s="38"/>
      <c r="B191" s="39"/>
      <c r="C191" s="38"/>
      <c r="D191" s="38"/>
      <c r="E191" s="38"/>
      <c r="F191" s="38"/>
      <c r="G191" s="38"/>
      <c r="H191" s="40"/>
      <c r="I191" s="38"/>
      <c r="J191" s="38"/>
      <c r="K191" s="38"/>
      <c r="L191" s="41"/>
      <c r="M191" s="42" t="str">
        <f aca="false">IF(C191="","",IF(W191=1,"NO – opted out. Do not email.",IF(I191="","Pick a contact type",IF(LEFT(I191,4)="Sole",IF(OR(LEFT(J191,7)="Consent",LEFT(J191,4)="Soft"),"Yes – add opt-out + privacy link",IF(LEFT(J191,8)="Contract","Reply about their enquiry only","NO – needs consent first (PECR)")),"Yes – add opt-out + privacy link"))))</f>
        <v/>
      </c>
      <c r="N191" s="38"/>
      <c r="O191" s="39"/>
      <c r="P191" s="38"/>
      <c r="Q191" s="39"/>
      <c r="R191" s="43" t="str">
        <f aca="false">IF(C191="","",IF(Q191&lt;&gt;"",Q191,IF(OR(W191=1,N191="Won",N191="Lost",N191="Parked"),"",IF(O191&lt;&gt;"",O191+Lists!$N$2,IF(B191&lt;&gt;"",B191+Lists!$N$2,"")))))</f>
        <v/>
      </c>
      <c r="S191" s="42" t="str">
        <f aca="true">IF(C191="","",IF(W191=1,"Grey – do not email",IF(N191="Won","Won",IF(OR(N191="Lost",N191="Parked"),"Closed",IF(R191="","Amber – add next action",IF(R191&lt;TODAY(),"Red – overdue",IF(R191=TODAY(),"Red – due today",IF(R191-TODAY()&lt;=Lists!$N$3,"Amber – due soon","Green – on track"))))))))</f>
        <v/>
      </c>
      <c r="T191" s="44"/>
      <c r="U191" s="38"/>
      <c r="V191" s="42" t="str">
        <f aca="true">IF(OR(C191="",W191=1,N191="Won",N191="Lost"),"",IF(ISNUMBER(R191),IF(R191&lt;=TODAY(),R191+ROW()/100000,""),""))</f>
        <v/>
      </c>
      <c r="W191" s="42" t="n">
        <f aca="false">IF(OR(L191="Y",AND(G191&lt;&gt;"",COUNTIF('Do not contact'!$A$6:$A$505,G191)&gt;0)),1,0)</f>
        <v>0</v>
      </c>
    </row>
    <row r="192" customFormat="false" ht="27.75" hidden="false" customHeight="true" outlineLevel="0" collapsed="false">
      <c r="A192" s="38"/>
      <c r="B192" s="39"/>
      <c r="C192" s="38"/>
      <c r="D192" s="38"/>
      <c r="E192" s="38"/>
      <c r="F192" s="38"/>
      <c r="G192" s="38"/>
      <c r="H192" s="40"/>
      <c r="I192" s="38"/>
      <c r="J192" s="38"/>
      <c r="K192" s="38"/>
      <c r="L192" s="41"/>
      <c r="M192" s="42" t="str">
        <f aca="false">IF(C192="","",IF(W192=1,"NO – opted out. Do not email.",IF(I192="","Pick a contact type",IF(LEFT(I192,4)="Sole",IF(OR(LEFT(J192,7)="Consent",LEFT(J192,4)="Soft"),"Yes – add opt-out + privacy link",IF(LEFT(J192,8)="Contract","Reply about their enquiry only","NO – needs consent first (PECR)")),"Yes – add opt-out + privacy link"))))</f>
        <v/>
      </c>
      <c r="N192" s="38"/>
      <c r="O192" s="39"/>
      <c r="P192" s="38"/>
      <c r="Q192" s="39"/>
      <c r="R192" s="43" t="str">
        <f aca="false">IF(C192="","",IF(Q192&lt;&gt;"",Q192,IF(OR(W192=1,N192="Won",N192="Lost",N192="Parked"),"",IF(O192&lt;&gt;"",O192+Lists!$N$2,IF(B192&lt;&gt;"",B192+Lists!$N$2,"")))))</f>
        <v/>
      </c>
      <c r="S192" s="42" t="str">
        <f aca="true">IF(C192="","",IF(W192=1,"Grey – do not email",IF(N192="Won","Won",IF(OR(N192="Lost",N192="Parked"),"Closed",IF(R192="","Amber – add next action",IF(R192&lt;TODAY(),"Red – overdue",IF(R192=TODAY(),"Red – due today",IF(R192-TODAY()&lt;=Lists!$N$3,"Amber – due soon","Green – on track"))))))))</f>
        <v/>
      </c>
      <c r="T192" s="44"/>
      <c r="U192" s="38"/>
      <c r="V192" s="42" t="str">
        <f aca="true">IF(OR(C192="",W192=1,N192="Won",N192="Lost"),"",IF(ISNUMBER(R192),IF(R192&lt;=TODAY(),R192+ROW()/100000,""),""))</f>
        <v/>
      </c>
      <c r="W192" s="42" t="n">
        <f aca="false">IF(OR(L192="Y",AND(G192&lt;&gt;"",COUNTIF('Do not contact'!$A$6:$A$505,G192)&gt;0)),1,0)</f>
        <v>0</v>
      </c>
    </row>
    <row r="193" customFormat="false" ht="27.75" hidden="false" customHeight="true" outlineLevel="0" collapsed="false">
      <c r="A193" s="38"/>
      <c r="B193" s="39"/>
      <c r="C193" s="38"/>
      <c r="D193" s="38"/>
      <c r="E193" s="38"/>
      <c r="F193" s="38"/>
      <c r="G193" s="38"/>
      <c r="H193" s="40"/>
      <c r="I193" s="38"/>
      <c r="J193" s="38"/>
      <c r="K193" s="38"/>
      <c r="L193" s="41"/>
      <c r="M193" s="42" t="str">
        <f aca="false">IF(C193="","",IF(W193=1,"NO – opted out. Do not email.",IF(I193="","Pick a contact type",IF(LEFT(I193,4)="Sole",IF(OR(LEFT(J193,7)="Consent",LEFT(J193,4)="Soft"),"Yes – add opt-out + privacy link",IF(LEFT(J193,8)="Contract","Reply about their enquiry only","NO – needs consent first (PECR)")),"Yes – add opt-out + privacy link"))))</f>
        <v/>
      </c>
      <c r="N193" s="38"/>
      <c r="O193" s="39"/>
      <c r="P193" s="38"/>
      <c r="Q193" s="39"/>
      <c r="R193" s="43" t="str">
        <f aca="false">IF(C193="","",IF(Q193&lt;&gt;"",Q193,IF(OR(W193=1,N193="Won",N193="Lost",N193="Parked"),"",IF(O193&lt;&gt;"",O193+Lists!$N$2,IF(B193&lt;&gt;"",B193+Lists!$N$2,"")))))</f>
        <v/>
      </c>
      <c r="S193" s="42" t="str">
        <f aca="true">IF(C193="","",IF(W193=1,"Grey – do not email",IF(N193="Won","Won",IF(OR(N193="Lost",N193="Parked"),"Closed",IF(R193="","Amber – add next action",IF(R193&lt;TODAY(),"Red – overdue",IF(R193=TODAY(),"Red – due today",IF(R193-TODAY()&lt;=Lists!$N$3,"Amber – due soon","Green – on track"))))))))</f>
        <v/>
      </c>
      <c r="T193" s="44"/>
      <c r="U193" s="38"/>
      <c r="V193" s="42" t="str">
        <f aca="true">IF(OR(C193="",W193=1,N193="Won",N193="Lost"),"",IF(ISNUMBER(R193),IF(R193&lt;=TODAY(),R193+ROW()/100000,""),""))</f>
        <v/>
      </c>
      <c r="W193" s="42" t="n">
        <f aca="false">IF(OR(L193="Y",AND(G193&lt;&gt;"",COUNTIF('Do not contact'!$A$6:$A$505,G193)&gt;0)),1,0)</f>
        <v>0</v>
      </c>
    </row>
    <row r="194" customFormat="false" ht="27.75" hidden="false" customHeight="true" outlineLevel="0" collapsed="false">
      <c r="A194" s="38"/>
      <c r="B194" s="39"/>
      <c r="C194" s="38"/>
      <c r="D194" s="38"/>
      <c r="E194" s="38"/>
      <c r="F194" s="38"/>
      <c r="G194" s="38"/>
      <c r="H194" s="40"/>
      <c r="I194" s="38"/>
      <c r="J194" s="38"/>
      <c r="K194" s="38"/>
      <c r="L194" s="41"/>
      <c r="M194" s="42" t="str">
        <f aca="false">IF(C194="","",IF(W194=1,"NO – opted out. Do not email.",IF(I194="","Pick a contact type",IF(LEFT(I194,4)="Sole",IF(OR(LEFT(J194,7)="Consent",LEFT(J194,4)="Soft"),"Yes – add opt-out + privacy link",IF(LEFT(J194,8)="Contract","Reply about their enquiry only","NO – needs consent first (PECR)")),"Yes – add opt-out + privacy link"))))</f>
        <v/>
      </c>
      <c r="N194" s="38"/>
      <c r="O194" s="39"/>
      <c r="P194" s="38"/>
      <c r="Q194" s="39"/>
      <c r="R194" s="43" t="str">
        <f aca="false">IF(C194="","",IF(Q194&lt;&gt;"",Q194,IF(OR(W194=1,N194="Won",N194="Lost",N194="Parked"),"",IF(O194&lt;&gt;"",O194+Lists!$N$2,IF(B194&lt;&gt;"",B194+Lists!$N$2,"")))))</f>
        <v/>
      </c>
      <c r="S194" s="42" t="str">
        <f aca="true">IF(C194="","",IF(W194=1,"Grey – do not email",IF(N194="Won","Won",IF(OR(N194="Lost",N194="Parked"),"Closed",IF(R194="","Amber – add next action",IF(R194&lt;TODAY(),"Red – overdue",IF(R194=TODAY(),"Red – due today",IF(R194-TODAY()&lt;=Lists!$N$3,"Amber – due soon","Green – on track"))))))))</f>
        <v/>
      </c>
      <c r="T194" s="44"/>
      <c r="U194" s="38"/>
      <c r="V194" s="42" t="str">
        <f aca="true">IF(OR(C194="",W194=1,N194="Won",N194="Lost"),"",IF(ISNUMBER(R194),IF(R194&lt;=TODAY(),R194+ROW()/100000,""),""))</f>
        <v/>
      </c>
      <c r="W194" s="42" t="n">
        <f aca="false">IF(OR(L194="Y",AND(G194&lt;&gt;"",COUNTIF('Do not contact'!$A$6:$A$505,G194)&gt;0)),1,0)</f>
        <v>0</v>
      </c>
    </row>
    <row r="195" customFormat="false" ht="27.75" hidden="false" customHeight="true" outlineLevel="0" collapsed="false">
      <c r="A195" s="38"/>
      <c r="B195" s="39"/>
      <c r="C195" s="38"/>
      <c r="D195" s="38"/>
      <c r="E195" s="38"/>
      <c r="F195" s="38"/>
      <c r="G195" s="38"/>
      <c r="H195" s="40"/>
      <c r="I195" s="38"/>
      <c r="J195" s="38"/>
      <c r="K195" s="38"/>
      <c r="L195" s="41"/>
      <c r="M195" s="42" t="str">
        <f aca="false">IF(C195="","",IF(W195=1,"NO – opted out. Do not email.",IF(I195="","Pick a contact type",IF(LEFT(I195,4)="Sole",IF(OR(LEFT(J195,7)="Consent",LEFT(J195,4)="Soft"),"Yes – add opt-out + privacy link",IF(LEFT(J195,8)="Contract","Reply about their enquiry only","NO – needs consent first (PECR)")),"Yes – add opt-out + privacy link"))))</f>
        <v/>
      </c>
      <c r="N195" s="38"/>
      <c r="O195" s="39"/>
      <c r="P195" s="38"/>
      <c r="Q195" s="39"/>
      <c r="R195" s="43" t="str">
        <f aca="false">IF(C195="","",IF(Q195&lt;&gt;"",Q195,IF(OR(W195=1,N195="Won",N195="Lost",N195="Parked"),"",IF(O195&lt;&gt;"",O195+Lists!$N$2,IF(B195&lt;&gt;"",B195+Lists!$N$2,"")))))</f>
        <v/>
      </c>
      <c r="S195" s="42" t="str">
        <f aca="true">IF(C195="","",IF(W195=1,"Grey – do not email",IF(N195="Won","Won",IF(OR(N195="Lost",N195="Parked"),"Closed",IF(R195="","Amber – add next action",IF(R195&lt;TODAY(),"Red – overdue",IF(R195=TODAY(),"Red – due today",IF(R195-TODAY()&lt;=Lists!$N$3,"Amber – due soon","Green – on track"))))))))</f>
        <v/>
      </c>
      <c r="T195" s="44"/>
      <c r="U195" s="38"/>
      <c r="V195" s="42" t="str">
        <f aca="true">IF(OR(C195="",W195=1,N195="Won",N195="Lost"),"",IF(ISNUMBER(R195),IF(R195&lt;=TODAY(),R195+ROW()/100000,""),""))</f>
        <v/>
      </c>
      <c r="W195" s="42" t="n">
        <f aca="false">IF(OR(L195="Y",AND(G195&lt;&gt;"",COUNTIF('Do not contact'!$A$6:$A$505,G195)&gt;0)),1,0)</f>
        <v>0</v>
      </c>
    </row>
    <row r="196" customFormat="false" ht="27.75" hidden="false" customHeight="true" outlineLevel="0" collapsed="false">
      <c r="A196" s="38"/>
      <c r="B196" s="39"/>
      <c r="C196" s="38"/>
      <c r="D196" s="38"/>
      <c r="E196" s="38"/>
      <c r="F196" s="38"/>
      <c r="G196" s="38"/>
      <c r="H196" s="40"/>
      <c r="I196" s="38"/>
      <c r="J196" s="38"/>
      <c r="K196" s="38"/>
      <c r="L196" s="41"/>
      <c r="M196" s="42" t="str">
        <f aca="false">IF(C196="","",IF(W196=1,"NO – opted out. Do not email.",IF(I196="","Pick a contact type",IF(LEFT(I196,4)="Sole",IF(OR(LEFT(J196,7)="Consent",LEFT(J196,4)="Soft"),"Yes – add opt-out + privacy link",IF(LEFT(J196,8)="Contract","Reply about their enquiry only","NO – needs consent first (PECR)")),"Yes – add opt-out + privacy link"))))</f>
        <v/>
      </c>
      <c r="N196" s="38"/>
      <c r="O196" s="39"/>
      <c r="P196" s="38"/>
      <c r="Q196" s="39"/>
      <c r="R196" s="43" t="str">
        <f aca="false">IF(C196="","",IF(Q196&lt;&gt;"",Q196,IF(OR(W196=1,N196="Won",N196="Lost",N196="Parked"),"",IF(O196&lt;&gt;"",O196+Lists!$N$2,IF(B196&lt;&gt;"",B196+Lists!$N$2,"")))))</f>
        <v/>
      </c>
      <c r="S196" s="42" t="str">
        <f aca="true">IF(C196="","",IF(W196=1,"Grey – do not email",IF(N196="Won","Won",IF(OR(N196="Lost",N196="Parked"),"Closed",IF(R196="","Amber – add next action",IF(R196&lt;TODAY(),"Red – overdue",IF(R196=TODAY(),"Red – due today",IF(R196-TODAY()&lt;=Lists!$N$3,"Amber – due soon","Green – on track"))))))))</f>
        <v/>
      </c>
      <c r="T196" s="44"/>
      <c r="U196" s="38"/>
      <c r="V196" s="42" t="str">
        <f aca="true">IF(OR(C196="",W196=1,N196="Won",N196="Lost"),"",IF(ISNUMBER(R196),IF(R196&lt;=TODAY(),R196+ROW()/100000,""),""))</f>
        <v/>
      </c>
      <c r="W196" s="42" t="n">
        <f aca="false">IF(OR(L196="Y",AND(G196&lt;&gt;"",COUNTIF('Do not contact'!$A$6:$A$505,G196)&gt;0)),1,0)</f>
        <v>0</v>
      </c>
    </row>
    <row r="197" customFormat="false" ht="27.75" hidden="false" customHeight="true" outlineLevel="0" collapsed="false">
      <c r="A197" s="38"/>
      <c r="B197" s="39"/>
      <c r="C197" s="38"/>
      <c r="D197" s="38"/>
      <c r="E197" s="38"/>
      <c r="F197" s="38"/>
      <c r="G197" s="38"/>
      <c r="H197" s="40"/>
      <c r="I197" s="38"/>
      <c r="J197" s="38"/>
      <c r="K197" s="38"/>
      <c r="L197" s="41"/>
      <c r="M197" s="42" t="str">
        <f aca="false">IF(C197="","",IF(W197=1,"NO – opted out. Do not email.",IF(I197="","Pick a contact type",IF(LEFT(I197,4)="Sole",IF(OR(LEFT(J197,7)="Consent",LEFT(J197,4)="Soft"),"Yes – add opt-out + privacy link",IF(LEFT(J197,8)="Contract","Reply about their enquiry only","NO – needs consent first (PECR)")),"Yes – add opt-out + privacy link"))))</f>
        <v/>
      </c>
      <c r="N197" s="38"/>
      <c r="O197" s="39"/>
      <c r="P197" s="38"/>
      <c r="Q197" s="39"/>
      <c r="R197" s="43" t="str">
        <f aca="false">IF(C197="","",IF(Q197&lt;&gt;"",Q197,IF(OR(W197=1,N197="Won",N197="Lost",N197="Parked"),"",IF(O197&lt;&gt;"",O197+Lists!$N$2,IF(B197&lt;&gt;"",B197+Lists!$N$2,"")))))</f>
        <v/>
      </c>
      <c r="S197" s="42" t="str">
        <f aca="true">IF(C197="","",IF(W197=1,"Grey – do not email",IF(N197="Won","Won",IF(OR(N197="Lost",N197="Parked"),"Closed",IF(R197="","Amber – add next action",IF(R197&lt;TODAY(),"Red – overdue",IF(R197=TODAY(),"Red – due today",IF(R197-TODAY()&lt;=Lists!$N$3,"Amber – due soon","Green – on track"))))))))</f>
        <v/>
      </c>
      <c r="T197" s="44"/>
      <c r="U197" s="38"/>
      <c r="V197" s="42" t="str">
        <f aca="true">IF(OR(C197="",W197=1,N197="Won",N197="Lost"),"",IF(ISNUMBER(R197),IF(R197&lt;=TODAY(),R197+ROW()/100000,""),""))</f>
        <v/>
      </c>
      <c r="W197" s="42" t="n">
        <f aca="false">IF(OR(L197="Y",AND(G197&lt;&gt;"",COUNTIF('Do not contact'!$A$6:$A$505,G197)&gt;0)),1,0)</f>
        <v>0</v>
      </c>
    </row>
    <row r="198" customFormat="false" ht="27.75" hidden="false" customHeight="true" outlineLevel="0" collapsed="false">
      <c r="A198" s="38"/>
      <c r="B198" s="39"/>
      <c r="C198" s="38"/>
      <c r="D198" s="38"/>
      <c r="E198" s="38"/>
      <c r="F198" s="38"/>
      <c r="G198" s="38"/>
      <c r="H198" s="40"/>
      <c r="I198" s="38"/>
      <c r="J198" s="38"/>
      <c r="K198" s="38"/>
      <c r="L198" s="41"/>
      <c r="M198" s="42" t="str">
        <f aca="false">IF(C198="","",IF(W198=1,"NO – opted out. Do not email.",IF(I198="","Pick a contact type",IF(LEFT(I198,4)="Sole",IF(OR(LEFT(J198,7)="Consent",LEFT(J198,4)="Soft"),"Yes – add opt-out + privacy link",IF(LEFT(J198,8)="Contract","Reply about their enquiry only","NO – needs consent first (PECR)")),"Yes – add opt-out + privacy link"))))</f>
        <v/>
      </c>
      <c r="N198" s="38"/>
      <c r="O198" s="39"/>
      <c r="P198" s="38"/>
      <c r="Q198" s="39"/>
      <c r="R198" s="43" t="str">
        <f aca="false">IF(C198="","",IF(Q198&lt;&gt;"",Q198,IF(OR(W198=1,N198="Won",N198="Lost",N198="Parked"),"",IF(O198&lt;&gt;"",O198+Lists!$N$2,IF(B198&lt;&gt;"",B198+Lists!$N$2,"")))))</f>
        <v/>
      </c>
      <c r="S198" s="42" t="str">
        <f aca="true">IF(C198="","",IF(W198=1,"Grey – do not email",IF(N198="Won","Won",IF(OR(N198="Lost",N198="Parked"),"Closed",IF(R198="","Amber – add next action",IF(R198&lt;TODAY(),"Red – overdue",IF(R198=TODAY(),"Red – due today",IF(R198-TODAY()&lt;=Lists!$N$3,"Amber – due soon","Green – on track"))))))))</f>
        <v/>
      </c>
      <c r="T198" s="44"/>
      <c r="U198" s="38"/>
      <c r="V198" s="42" t="str">
        <f aca="true">IF(OR(C198="",W198=1,N198="Won",N198="Lost"),"",IF(ISNUMBER(R198),IF(R198&lt;=TODAY(),R198+ROW()/100000,""),""))</f>
        <v/>
      </c>
      <c r="W198" s="42" t="n">
        <f aca="false">IF(OR(L198="Y",AND(G198&lt;&gt;"",COUNTIF('Do not contact'!$A$6:$A$505,G198)&gt;0)),1,0)</f>
        <v>0</v>
      </c>
    </row>
    <row r="199" customFormat="false" ht="27.75" hidden="false" customHeight="true" outlineLevel="0" collapsed="false">
      <c r="A199" s="38"/>
      <c r="B199" s="39"/>
      <c r="C199" s="38"/>
      <c r="D199" s="38"/>
      <c r="E199" s="38"/>
      <c r="F199" s="38"/>
      <c r="G199" s="38"/>
      <c r="H199" s="40"/>
      <c r="I199" s="38"/>
      <c r="J199" s="38"/>
      <c r="K199" s="38"/>
      <c r="L199" s="41"/>
      <c r="M199" s="42" t="str">
        <f aca="false">IF(C199="","",IF(W199=1,"NO – opted out. Do not email.",IF(I199="","Pick a contact type",IF(LEFT(I199,4)="Sole",IF(OR(LEFT(J199,7)="Consent",LEFT(J199,4)="Soft"),"Yes – add opt-out + privacy link",IF(LEFT(J199,8)="Contract","Reply about their enquiry only","NO – needs consent first (PECR)")),"Yes – add opt-out + privacy link"))))</f>
        <v/>
      </c>
      <c r="N199" s="38"/>
      <c r="O199" s="39"/>
      <c r="P199" s="38"/>
      <c r="Q199" s="39"/>
      <c r="R199" s="43" t="str">
        <f aca="false">IF(C199="","",IF(Q199&lt;&gt;"",Q199,IF(OR(W199=1,N199="Won",N199="Lost",N199="Parked"),"",IF(O199&lt;&gt;"",O199+Lists!$N$2,IF(B199&lt;&gt;"",B199+Lists!$N$2,"")))))</f>
        <v/>
      </c>
      <c r="S199" s="42" t="str">
        <f aca="true">IF(C199="","",IF(W199=1,"Grey – do not email",IF(N199="Won","Won",IF(OR(N199="Lost",N199="Parked"),"Closed",IF(R199="","Amber – add next action",IF(R199&lt;TODAY(),"Red – overdue",IF(R199=TODAY(),"Red – due today",IF(R199-TODAY()&lt;=Lists!$N$3,"Amber – due soon","Green – on track"))))))))</f>
        <v/>
      </c>
      <c r="T199" s="44"/>
      <c r="U199" s="38"/>
      <c r="V199" s="42" t="str">
        <f aca="true">IF(OR(C199="",W199=1,N199="Won",N199="Lost"),"",IF(ISNUMBER(R199),IF(R199&lt;=TODAY(),R199+ROW()/100000,""),""))</f>
        <v/>
      </c>
      <c r="W199" s="42" t="n">
        <f aca="false">IF(OR(L199="Y",AND(G199&lt;&gt;"",COUNTIF('Do not contact'!$A$6:$A$505,G199)&gt;0)),1,0)</f>
        <v>0</v>
      </c>
    </row>
    <row r="200" customFormat="false" ht="27.75" hidden="false" customHeight="true" outlineLevel="0" collapsed="false">
      <c r="A200" s="38"/>
      <c r="B200" s="39"/>
      <c r="C200" s="38"/>
      <c r="D200" s="38"/>
      <c r="E200" s="38"/>
      <c r="F200" s="38"/>
      <c r="G200" s="38"/>
      <c r="H200" s="40"/>
      <c r="I200" s="38"/>
      <c r="J200" s="38"/>
      <c r="K200" s="38"/>
      <c r="L200" s="41"/>
      <c r="M200" s="42" t="str">
        <f aca="false">IF(C200="","",IF(W200=1,"NO – opted out. Do not email.",IF(I200="","Pick a contact type",IF(LEFT(I200,4)="Sole",IF(OR(LEFT(J200,7)="Consent",LEFT(J200,4)="Soft"),"Yes – add opt-out + privacy link",IF(LEFT(J200,8)="Contract","Reply about their enquiry only","NO – needs consent first (PECR)")),"Yes – add opt-out + privacy link"))))</f>
        <v/>
      </c>
      <c r="N200" s="38"/>
      <c r="O200" s="39"/>
      <c r="P200" s="38"/>
      <c r="Q200" s="39"/>
      <c r="R200" s="43" t="str">
        <f aca="false">IF(C200="","",IF(Q200&lt;&gt;"",Q200,IF(OR(W200=1,N200="Won",N200="Lost",N200="Parked"),"",IF(O200&lt;&gt;"",O200+Lists!$N$2,IF(B200&lt;&gt;"",B200+Lists!$N$2,"")))))</f>
        <v/>
      </c>
      <c r="S200" s="42" t="str">
        <f aca="true">IF(C200="","",IF(W200=1,"Grey – do not email",IF(N200="Won","Won",IF(OR(N200="Lost",N200="Parked"),"Closed",IF(R200="","Amber – add next action",IF(R200&lt;TODAY(),"Red – overdue",IF(R200=TODAY(),"Red – due today",IF(R200-TODAY()&lt;=Lists!$N$3,"Amber – due soon","Green – on track"))))))))</f>
        <v/>
      </c>
      <c r="T200" s="44"/>
      <c r="U200" s="38"/>
      <c r="V200" s="42" t="str">
        <f aca="true">IF(OR(C200="",W200=1,N200="Won",N200="Lost"),"",IF(ISNUMBER(R200),IF(R200&lt;=TODAY(),R200+ROW()/100000,""),""))</f>
        <v/>
      </c>
      <c r="W200" s="42" t="n">
        <f aca="false">IF(OR(L200="Y",AND(G200&lt;&gt;"",COUNTIF('Do not contact'!$A$6:$A$505,G200)&gt;0)),1,0)</f>
        <v>0</v>
      </c>
    </row>
    <row r="201" customFormat="false" ht="27.75" hidden="false" customHeight="true" outlineLevel="0" collapsed="false">
      <c r="A201" s="38"/>
      <c r="B201" s="39"/>
      <c r="C201" s="38"/>
      <c r="D201" s="38"/>
      <c r="E201" s="38"/>
      <c r="F201" s="38"/>
      <c r="G201" s="38"/>
      <c r="H201" s="40"/>
      <c r="I201" s="38"/>
      <c r="J201" s="38"/>
      <c r="K201" s="38"/>
      <c r="L201" s="41"/>
      <c r="M201" s="42" t="str">
        <f aca="false">IF(C201="","",IF(W201=1,"NO – opted out. Do not email.",IF(I201="","Pick a contact type",IF(LEFT(I201,4)="Sole",IF(OR(LEFT(J201,7)="Consent",LEFT(J201,4)="Soft"),"Yes – add opt-out + privacy link",IF(LEFT(J201,8)="Contract","Reply about their enquiry only","NO – needs consent first (PECR)")),"Yes – add opt-out + privacy link"))))</f>
        <v/>
      </c>
      <c r="N201" s="38"/>
      <c r="O201" s="39"/>
      <c r="P201" s="38"/>
      <c r="Q201" s="39"/>
      <c r="R201" s="43" t="str">
        <f aca="false">IF(C201="","",IF(Q201&lt;&gt;"",Q201,IF(OR(W201=1,N201="Won",N201="Lost",N201="Parked"),"",IF(O201&lt;&gt;"",O201+Lists!$N$2,IF(B201&lt;&gt;"",B201+Lists!$N$2,"")))))</f>
        <v/>
      </c>
      <c r="S201" s="42" t="str">
        <f aca="true">IF(C201="","",IF(W201=1,"Grey – do not email",IF(N201="Won","Won",IF(OR(N201="Lost",N201="Parked"),"Closed",IF(R201="","Amber – add next action",IF(R201&lt;TODAY(),"Red – overdue",IF(R201=TODAY(),"Red – due today",IF(R201-TODAY()&lt;=Lists!$N$3,"Amber – due soon","Green – on track"))))))))</f>
        <v/>
      </c>
      <c r="T201" s="44"/>
      <c r="U201" s="38"/>
      <c r="V201" s="42" t="str">
        <f aca="true">IF(OR(C201="",W201=1,N201="Won",N201="Lost"),"",IF(ISNUMBER(R201),IF(R201&lt;=TODAY(),R201+ROW()/100000,""),""))</f>
        <v/>
      </c>
      <c r="W201" s="42" t="n">
        <f aca="false">IF(OR(L201="Y",AND(G201&lt;&gt;"",COUNTIF('Do not contact'!$A$6:$A$505,G201)&gt;0)),1,0)</f>
        <v>0</v>
      </c>
    </row>
    <row r="202" customFormat="false" ht="27.75" hidden="false" customHeight="true" outlineLevel="0" collapsed="false">
      <c r="A202" s="38"/>
      <c r="B202" s="39"/>
      <c r="C202" s="38"/>
      <c r="D202" s="38"/>
      <c r="E202" s="38"/>
      <c r="F202" s="38"/>
      <c r="G202" s="38"/>
      <c r="H202" s="40"/>
      <c r="I202" s="38"/>
      <c r="J202" s="38"/>
      <c r="K202" s="38"/>
      <c r="L202" s="41"/>
      <c r="M202" s="42" t="str">
        <f aca="false">IF(C202="","",IF(W202=1,"NO – opted out. Do not email.",IF(I202="","Pick a contact type",IF(LEFT(I202,4)="Sole",IF(OR(LEFT(J202,7)="Consent",LEFT(J202,4)="Soft"),"Yes – add opt-out + privacy link",IF(LEFT(J202,8)="Contract","Reply about their enquiry only","NO – needs consent first (PECR)")),"Yes – add opt-out + privacy link"))))</f>
        <v/>
      </c>
      <c r="N202" s="38"/>
      <c r="O202" s="39"/>
      <c r="P202" s="38"/>
      <c r="Q202" s="39"/>
      <c r="R202" s="43" t="str">
        <f aca="false">IF(C202="","",IF(Q202&lt;&gt;"",Q202,IF(OR(W202=1,N202="Won",N202="Lost",N202="Parked"),"",IF(O202&lt;&gt;"",O202+Lists!$N$2,IF(B202&lt;&gt;"",B202+Lists!$N$2,"")))))</f>
        <v/>
      </c>
      <c r="S202" s="42" t="str">
        <f aca="true">IF(C202="","",IF(W202=1,"Grey – do not email",IF(N202="Won","Won",IF(OR(N202="Lost",N202="Parked"),"Closed",IF(R202="","Amber – add next action",IF(R202&lt;TODAY(),"Red – overdue",IF(R202=TODAY(),"Red – due today",IF(R202-TODAY()&lt;=Lists!$N$3,"Amber – due soon","Green – on track"))))))))</f>
        <v/>
      </c>
      <c r="T202" s="44"/>
      <c r="U202" s="38"/>
      <c r="V202" s="42" t="str">
        <f aca="true">IF(OR(C202="",W202=1,N202="Won",N202="Lost"),"",IF(ISNUMBER(R202),IF(R202&lt;=TODAY(),R202+ROW()/100000,""),""))</f>
        <v/>
      </c>
      <c r="W202" s="42" t="n">
        <f aca="false">IF(OR(L202="Y",AND(G202&lt;&gt;"",COUNTIF('Do not contact'!$A$6:$A$505,G202)&gt;0)),1,0)</f>
        <v>0</v>
      </c>
    </row>
    <row r="203" customFormat="false" ht="27.75" hidden="false" customHeight="true" outlineLevel="0" collapsed="false">
      <c r="A203" s="38"/>
      <c r="B203" s="39"/>
      <c r="C203" s="38"/>
      <c r="D203" s="38"/>
      <c r="E203" s="38"/>
      <c r="F203" s="38"/>
      <c r="G203" s="38"/>
      <c r="H203" s="40"/>
      <c r="I203" s="38"/>
      <c r="J203" s="38"/>
      <c r="K203" s="38"/>
      <c r="L203" s="41"/>
      <c r="M203" s="42" t="str">
        <f aca="false">IF(C203="","",IF(W203=1,"NO – opted out. Do not email.",IF(I203="","Pick a contact type",IF(LEFT(I203,4)="Sole",IF(OR(LEFT(J203,7)="Consent",LEFT(J203,4)="Soft"),"Yes – add opt-out + privacy link",IF(LEFT(J203,8)="Contract","Reply about their enquiry only","NO – needs consent first (PECR)")),"Yes – add opt-out + privacy link"))))</f>
        <v/>
      </c>
      <c r="N203" s="38"/>
      <c r="O203" s="39"/>
      <c r="P203" s="38"/>
      <c r="Q203" s="39"/>
      <c r="R203" s="43" t="str">
        <f aca="false">IF(C203="","",IF(Q203&lt;&gt;"",Q203,IF(OR(W203=1,N203="Won",N203="Lost",N203="Parked"),"",IF(O203&lt;&gt;"",O203+Lists!$N$2,IF(B203&lt;&gt;"",B203+Lists!$N$2,"")))))</f>
        <v/>
      </c>
      <c r="S203" s="42" t="str">
        <f aca="true">IF(C203="","",IF(W203=1,"Grey – do not email",IF(N203="Won","Won",IF(OR(N203="Lost",N203="Parked"),"Closed",IF(R203="","Amber – add next action",IF(R203&lt;TODAY(),"Red – overdue",IF(R203=TODAY(),"Red – due today",IF(R203-TODAY()&lt;=Lists!$N$3,"Amber – due soon","Green – on track"))))))))</f>
        <v/>
      </c>
      <c r="T203" s="44"/>
      <c r="U203" s="38"/>
      <c r="V203" s="42" t="str">
        <f aca="true">IF(OR(C203="",W203=1,N203="Won",N203="Lost"),"",IF(ISNUMBER(R203),IF(R203&lt;=TODAY(),R203+ROW()/100000,""),""))</f>
        <v/>
      </c>
      <c r="W203" s="42" t="n">
        <f aca="false">IF(OR(L203="Y",AND(G203&lt;&gt;"",COUNTIF('Do not contact'!$A$6:$A$505,G203)&gt;0)),1,0)</f>
        <v>0</v>
      </c>
    </row>
    <row r="204" customFormat="false" ht="27.75" hidden="false" customHeight="true" outlineLevel="0" collapsed="false">
      <c r="A204" s="38"/>
      <c r="B204" s="39"/>
      <c r="C204" s="38"/>
      <c r="D204" s="38"/>
      <c r="E204" s="38"/>
      <c r="F204" s="38"/>
      <c r="G204" s="38"/>
      <c r="H204" s="40"/>
      <c r="I204" s="38"/>
      <c r="J204" s="38"/>
      <c r="K204" s="38"/>
      <c r="L204" s="41"/>
      <c r="M204" s="42" t="str">
        <f aca="false">IF(C204="","",IF(W204=1,"NO – opted out. Do not email.",IF(I204="","Pick a contact type",IF(LEFT(I204,4)="Sole",IF(OR(LEFT(J204,7)="Consent",LEFT(J204,4)="Soft"),"Yes – add opt-out + privacy link",IF(LEFT(J204,8)="Contract","Reply about their enquiry only","NO – needs consent first (PECR)")),"Yes – add opt-out + privacy link"))))</f>
        <v/>
      </c>
      <c r="N204" s="38"/>
      <c r="O204" s="39"/>
      <c r="P204" s="38"/>
      <c r="Q204" s="39"/>
      <c r="R204" s="43" t="str">
        <f aca="false">IF(C204="","",IF(Q204&lt;&gt;"",Q204,IF(OR(W204=1,N204="Won",N204="Lost",N204="Parked"),"",IF(O204&lt;&gt;"",O204+Lists!$N$2,IF(B204&lt;&gt;"",B204+Lists!$N$2,"")))))</f>
        <v/>
      </c>
      <c r="S204" s="42" t="str">
        <f aca="true">IF(C204="","",IF(W204=1,"Grey – do not email",IF(N204="Won","Won",IF(OR(N204="Lost",N204="Parked"),"Closed",IF(R204="","Amber – add next action",IF(R204&lt;TODAY(),"Red – overdue",IF(R204=TODAY(),"Red – due today",IF(R204-TODAY()&lt;=Lists!$N$3,"Amber – due soon","Green – on track"))))))))</f>
        <v/>
      </c>
      <c r="T204" s="44"/>
      <c r="U204" s="38"/>
      <c r="V204" s="42" t="str">
        <f aca="true">IF(OR(C204="",W204=1,N204="Won",N204="Lost"),"",IF(ISNUMBER(R204),IF(R204&lt;=TODAY(),R204+ROW()/100000,""),""))</f>
        <v/>
      </c>
      <c r="W204" s="42" t="n">
        <f aca="false">IF(OR(L204="Y",AND(G204&lt;&gt;"",COUNTIF('Do not contact'!$A$6:$A$505,G204)&gt;0)),1,0)</f>
        <v>0</v>
      </c>
    </row>
    <row r="205" customFormat="false" ht="27.75" hidden="false" customHeight="true" outlineLevel="0" collapsed="false">
      <c r="A205" s="38"/>
      <c r="B205" s="39"/>
      <c r="C205" s="38"/>
      <c r="D205" s="38"/>
      <c r="E205" s="38"/>
      <c r="F205" s="38"/>
      <c r="G205" s="38"/>
      <c r="H205" s="40"/>
      <c r="I205" s="38"/>
      <c r="J205" s="38"/>
      <c r="K205" s="38"/>
      <c r="L205" s="41"/>
      <c r="M205" s="42" t="str">
        <f aca="false">IF(C205="","",IF(W205=1,"NO – opted out. Do not email.",IF(I205="","Pick a contact type",IF(LEFT(I205,4)="Sole",IF(OR(LEFT(J205,7)="Consent",LEFT(J205,4)="Soft"),"Yes – add opt-out + privacy link",IF(LEFT(J205,8)="Contract","Reply about their enquiry only","NO – needs consent first (PECR)")),"Yes – add opt-out + privacy link"))))</f>
        <v/>
      </c>
      <c r="N205" s="38"/>
      <c r="O205" s="39"/>
      <c r="P205" s="38"/>
      <c r="Q205" s="39"/>
      <c r="R205" s="43" t="str">
        <f aca="false">IF(C205="","",IF(Q205&lt;&gt;"",Q205,IF(OR(W205=1,N205="Won",N205="Lost",N205="Parked"),"",IF(O205&lt;&gt;"",O205+Lists!$N$2,IF(B205&lt;&gt;"",B205+Lists!$N$2,"")))))</f>
        <v/>
      </c>
      <c r="S205" s="42" t="str">
        <f aca="true">IF(C205="","",IF(W205=1,"Grey – do not email",IF(N205="Won","Won",IF(OR(N205="Lost",N205="Parked"),"Closed",IF(R205="","Amber – add next action",IF(R205&lt;TODAY(),"Red – overdue",IF(R205=TODAY(),"Red – due today",IF(R205-TODAY()&lt;=Lists!$N$3,"Amber – due soon","Green – on track"))))))))</f>
        <v/>
      </c>
      <c r="T205" s="44"/>
      <c r="U205" s="38"/>
      <c r="V205" s="42" t="str">
        <f aca="true">IF(OR(C205="",W205=1,N205="Won",N205="Lost"),"",IF(ISNUMBER(R205),IF(R205&lt;=TODAY(),R205+ROW()/100000,""),""))</f>
        <v/>
      </c>
      <c r="W205" s="42" t="n">
        <f aca="false">IF(OR(L205="Y",AND(G205&lt;&gt;"",COUNTIF('Do not contact'!$A$6:$A$505,G205)&gt;0)),1,0)</f>
        <v>0</v>
      </c>
    </row>
    <row r="206" customFormat="false" ht="27.75" hidden="false" customHeight="true" outlineLevel="0" collapsed="false">
      <c r="A206" s="38"/>
      <c r="B206" s="39"/>
      <c r="C206" s="38"/>
      <c r="D206" s="38"/>
      <c r="E206" s="38"/>
      <c r="F206" s="38"/>
      <c r="G206" s="38"/>
      <c r="H206" s="40"/>
      <c r="I206" s="38"/>
      <c r="J206" s="38"/>
      <c r="K206" s="38"/>
      <c r="L206" s="41"/>
      <c r="M206" s="42" t="str">
        <f aca="false">IF(C206="","",IF(W206=1,"NO – opted out. Do not email.",IF(I206="","Pick a contact type",IF(LEFT(I206,4)="Sole",IF(OR(LEFT(J206,7)="Consent",LEFT(J206,4)="Soft"),"Yes – add opt-out + privacy link",IF(LEFT(J206,8)="Contract","Reply about their enquiry only","NO – needs consent first (PECR)")),"Yes – add opt-out + privacy link"))))</f>
        <v/>
      </c>
      <c r="N206" s="38"/>
      <c r="O206" s="39"/>
      <c r="P206" s="38"/>
      <c r="Q206" s="39"/>
      <c r="R206" s="43" t="str">
        <f aca="false">IF(C206="","",IF(Q206&lt;&gt;"",Q206,IF(OR(W206=1,N206="Won",N206="Lost",N206="Parked"),"",IF(O206&lt;&gt;"",O206+Lists!$N$2,IF(B206&lt;&gt;"",B206+Lists!$N$2,"")))))</f>
        <v/>
      </c>
      <c r="S206" s="42" t="str">
        <f aca="true">IF(C206="","",IF(W206=1,"Grey – do not email",IF(N206="Won","Won",IF(OR(N206="Lost",N206="Parked"),"Closed",IF(R206="","Amber – add next action",IF(R206&lt;TODAY(),"Red – overdue",IF(R206=TODAY(),"Red – due today",IF(R206-TODAY()&lt;=Lists!$N$3,"Amber – due soon","Green – on track"))))))))</f>
        <v/>
      </c>
      <c r="T206" s="44"/>
      <c r="U206" s="38"/>
      <c r="V206" s="42" t="str">
        <f aca="true">IF(OR(C206="",W206=1,N206="Won",N206="Lost"),"",IF(ISNUMBER(R206),IF(R206&lt;=TODAY(),R206+ROW()/100000,""),""))</f>
        <v/>
      </c>
      <c r="W206" s="42" t="n">
        <f aca="false">IF(OR(L206="Y",AND(G206&lt;&gt;"",COUNTIF('Do not contact'!$A$6:$A$505,G206)&gt;0)),1,0)</f>
        <v>0</v>
      </c>
    </row>
    <row r="207" customFormat="false" ht="27.75" hidden="false" customHeight="true" outlineLevel="0" collapsed="false">
      <c r="A207" s="38"/>
      <c r="B207" s="39"/>
      <c r="C207" s="38"/>
      <c r="D207" s="38"/>
      <c r="E207" s="38"/>
      <c r="F207" s="38"/>
      <c r="G207" s="38"/>
      <c r="H207" s="40"/>
      <c r="I207" s="38"/>
      <c r="J207" s="38"/>
      <c r="K207" s="38"/>
      <c r="L207" s="41"/>
      <c r="M207" s="42" t="str">
        <f aca="false">IF(C207="","",IF(W207=1,"NO – opted out. Do not email.",IF(I207="","Pick a contact type",IF(LEFT(I207,4)="Sole",IF(OR(LEFT(J207,7)="Consent",LEFT(J207,4)="Soft"),"Yes – add opt-out + privacy link",IF(LEFT(J207,8)="Contract","Reply about their enquiry only","NO – needs consent first (PECR)")),"Yes – add opt-out + privacy link"))))</f>
        <v/>
      </c>
      <c r="N207" s="38"/>
      <c r="O207" s="39"/>
      <c r="P207" s="38"/>
      <c r="Q207" s="39"/>
      <c r="R207" s="43" t="str">
        <f aca="false">IF(C207="","",IF(Q207&lt;&gt;"",Q207,IF(OR(W207=1,N207="Won",N207="Lost",N207="Parked"),"",IF(O207&lt;&gt;"",O207+Lists!$N$2,IF(B207&lt;&gt;"",B207+Lists!$N$2,"")))))</f>
        <v/>
      </c>
      <c r="S207" s="42" t="str">
        <f aca="true">IF(C207="","",IF(W207=1,"Grey – do not email",IF(N207="Won","Won",IF(OR(N207="Lost",N207="Parked"),"Closed",IF(R207="","Amber – add next action",IF(R207&lt;TODAY(),"Red – overdue",IF(R207=TODAY(),"Red – due today",IF(R207-TODAY()&lt;=Lists!$N$3,"Amber – due soon","Green – on track"))))))))</f>
        <v/>
      </c>
      <c r="T207" s="44"/>
      <c r="U207" s="38"/>
      <c r="V207" s="42" t="str">
        <f aca="true">IF(OR(C207="",W207=1,N207="Won",N207="Lost"),"",IF(ISNUMBER(R207),IF(R207&lt;=TODAY(),R207+ROW()/100000,""),""))</f>
        <v/>
      </c>
      <c r="W207" s="42" t="n">
        <f aca="false">IF(OR(L207="Y",AND(G207&lt;&gt;"",COUNTIF('Do not contact'!$A$6:$A$505,G207)&gt;0)),1,0)</f>
        <v>0</v>
      </c>
    </row>
    <row r="208" customFormat="false" ht="27.75" hidden="false" customHeight="true" outlineLevel="0" collapsed="false">
      <c r="A208" s="38"/>
      <c r="B208" s="39"/>
      <c r="C208" s="38"/>
      <c r="D208" s="38"/>
      <c r="E208" s="38"/>
      <c r="F208" s="38"/>
      <c r="G208" s="38"/>
      <c r="H208" s="40"/>
      <c r="I208" s="38"/>
      <c r="J208" s="38"/>
      <c r="K208" s="38"/>
      <c r="L208" s="41"/>
      <c r="M208" s="42" t="str">
        <f aca="false">IF(C208="","",IF(W208=1,"NO – opted out. Do not email.",IF(I208="","Pick a contact type",IF(LEFT(I208,4)="Sole",IF(OR(LEFT(J208,7)="Consent",LEFT(J208,4)="Soft"),"Yes – add opt-out + privacy link",IF(LEFT(J208,8)="Contract","Reply about their enquiry only","NO – needs consent first (PECR)")),"Yes – add opt-out + privacy link"))))</f>
        <v/>
      </c>
      <c r="N208" s="38"/>
      <c r="O208" s="39"/>
      <c r="P208" s="38"/>
      <c r="Q208" s="39"/>
      <c r="R208" s="43" t="str">
        <f aca="false">IF(C208="","",IF(Q208&lt;&gt;"",Q208,IF(OR(W208=1,N208="Won",N208="Lost",N208="Parked"),"",IF(O208&lt;&gt;"",O208+Lists!$N$2,IF(B208&lt;&gt;"",B208+Lists!$N$2,"")))))</f>
        <v/>
      </c>
      <c r="S208" s="42" t="str">
        <f aca="true">IF(C208="","",IF(W208=1,"Grey – do not email",IF(N208="Won","Won",IF(OR(N208="Lost",N208="Parked"),"Closed",IF(R208="","Amber – add next action",IF(R208&lt;TODAY(),"Red – overdue",IF(R208=TODAY(),"Red – due today",IF(R208-TODAY()&lt;=Lists!$N$3,"Amber – due soon","Green – on track"))))))))</f>
        <v/>
      </c>
      <c r="T208" s="44"/>
      <c r="U208" s="38"/>
      <c r="V208" s="42" t="str">
        <f aca="true">IF(OR(C208="",W208=1,N208="Won",N208="Lost"),"",IF(ISNUMBER(R208),IF(R208&lt;=TODAY(),R208+ROW()/100000,""),""))</f>
        <v/>
      </c>
      <c r="W208" s="42" t="n">
        <f aca="false">IF(OR(L208="Y",AND(G208&lt;&gt;"",COUNTIF('Do not contact'!$A$6:$A$505,G208)&gt;0)),1,0)</f>
        <v>0</v>
      </c>
    </row>
    <row r="209" customFormat="false" ht="27.75" hidden="false" customHeight="true" outlineLevel="0" collapsed="false">
      <c r="A209" s="38"/>
      <c r="B209" s="39"/>
      <c r="C209" s="38"/>
      <c r="D209" s="38"/>
      <c r="E209" s="38"/>
      <c r="F209" s="38"/>
      <c r="G209" s="38"/>
      <c r="H209" s="40"/>
      <c r="I209" s="38"/>
      <c r="J209" s="38"/>
      <c r="K209" s="38"/>
      <c r="L209" s="41"/>
      <c r="M209" s="42" t="str">
        <f aca="false">IF(C209="","",IF(W209=1,"NO – opted out. Do not email.",IF(I209="","Pick a contact type",IF(LEFT(I209,4)="Sole",IF(OR(LEFT(J209,7)="Consent",LEFT(J209,4)="Soft"),"Yes – add opt-out + privacy link",IF(LEFT(J209,8)="Contract","Reply about their enquiry only","NO – needs consent first (PECR)")),"Yes – add opt-out + privacy link"))))</f>
        <v/>
      </c>
      <c r="N209" s="38"/>
      <c r="O209" s="39"/>
      <c r="P209" s="38"/>
      <c r="Q209" s="39"/>
      <c r="R209" s="43" t="str">
        <f aca="false">IF(C209="","",IF(Q209&lt;&gt;"",Q209,IF(OR(W209=1,N209="Won",N209="Lost",N209="Parked"),"",IF(O209&lt;&gt;"",O209+Lists!$N$2,IF(B209&lt;&gt;"",B209+Lists!$N$2,"")))))</f>
        <v/>
      </c>
      <c r="S209" s="42" t="str">
        <f aca="true">IF(C209="","",IF(W209=1,"Grey – do not email",IF(N209="Won","Won",IF(OR(N209="Lost",N209="Parked"),"Closed",IF(R209="","Amber – add next action",IF(R209&lt;TODAY(),"Red – overdue",IF(R209=TODAY(),"Red – due today",IF(R209-TODAY()&lt;=Lists!$N$3,"Amber – due soon","Green – on track"))))))))</f>
        <v/>
      </c>
      <c r="T209" s="44"/>
      <c r="U209" s="38"/>
      <c r="V209" s="42" t="str">
        <f aca="true">IF(OR(C209="",W209=1,N209="Won",N209="Lost"),"",IF(ISNUMBER(R209),IF(R209&lt;=TODAY(),R209+ROW()/100000,""),""))</f>
        <v/>
      </c>
      <c r="W209" s="42" t="n">
        <f aca="false">IF(OR(L209="Y",AND(G209&lt;&gt;"",COUNTIF('Do not contact'!$A$6:$A$505,G209)&gt;0)),1,0)</f>
        <v>0</v>
      </c>
    </row>
    <row r="210" customFormat="false" ht="27.75" hidden="false" customHeight="true" outlineLevel="0" collapsed="false">
      <c r="A210" s="38"/>
      <c r="B210" s="39"/>
      <c r="C210" s="38"/>
      <c r="D210" s="38"/>
      <c r="E210" s="38"/>
      <c r="F210" s="38"/>
      <c r="G210" s="38"/>
      <c r="H210" s="40"/>
      <c r="I210" s="38"/>
      <c r="J210" s="38"/>
      <c r="K210" s="38"/>
      <c r="L210" s="41"/>
      <c r="M210" s="42" t="str">
        <f aca="false">IF(C210="","",IF(W210=1,"NO – opted out. Do not email.",IF(I210="","Pick a contact type",IF(LEFT(I210,4)="Sole",IF(OR(LEFT(J210,7)="Consent",LEFT(J210,4)="Soft"),"Yes – add opt-out + privacy link",IF(LEFT(J210,8)="Contract","Reply about their enquiry only","NO – needs consent first (PECR)")),"Yes – add opt-out + privacy link"))))</f>
        <v/>
      </c>
      <c r="N210" s="38"/>
      <c r="O210" s="39"/>
      <c r="P210" s="38"/>
      <c r="Q210" s="39"/>
      <c r="R210" s="43" t="str">
        <f aca="false">IF(C210="","",IF(Q210&lt;&gt;"",Q210,IF(OR(W210=1,N210="Won",N210="Lost",N210="Parked"),"",IF(O210&lt;&gt;"",O210+Lists!$N$2,IF(B210&lt;&gt;"",B210+Lists!$N$2,"")))))</f>
        <v/>
      </c>
      <c r="S210" s="42" t="str">
        <f aca="true">IF(C210="","",IF(W210=1,"Grey – do not email",IF(N210="Won","Won",IF(OR(N210="Lost",N210="Parked"),"Closed",IF(R210="","Amber – add next action",IF(R210&lt;TODAY(),"Red – overdue",IF(R210=TODAY(),"Red – due today",IF(R210-TODAY()&lt;=Lists!$N$3,"Amber – due soon","Green – on track"))))))))</f>
        <v/>
      </c>
      <c r="T210" s="44"/>
      <c r="U210" s="38"/>
      <c r="V210" s="42" t="str">
        <f aca="true">IF(OR(C210="",W210=1,N210="Won",N210="Lost"),"",IF(ISNUMBER(R210),IF(R210&lt;=TODAY(),R210+ROW()/100000,""),""))</f>
        <v/>
      </c>
      <c r="W210" s="42" t="n">
        <f aca="false">IF(OR(L210="Y",AND(G210&lt;&gt;"",COUNTIF('Do not contact'!$A$6:$A$505,G210)&gt;0)),1,0)</f>
        <v>0</v>
      </c>
    </row>
    <row r="211" customFormat="false" ht="27.75" hidden="false" customHeight="true" outlineLevel="0" collapsed="false">
      <c r="A211" s="38"/>
      <c r="B211" s="39"/>
      <c r="C211" s="38"/>
      <c r="D211" s="38"/>
      <c r="E211" s="38"/>
      <c r="F211" s="38"/>
      <c r="G211" s="38"/>
      <c r="H211" s="40"/>
      <c r="I211" s="38"/>
      <c r="J211" s="38"/>
      <c r="K211" s="38"/>
      <c r="L211" s="41"/>
      <c r="M211" s="42" t="str">
        <f aca="false">IF(C211="","",IF(W211=1,"NO – opted out. Do not email.",IF(I211="","Pick a contact type",IF(LEFT(I211,4)="Sole",IF(OR(LEFT(J211,7)="Consent",LEFT(J211,4)="Soft"),"Yes – add opt-out + privacy link",IF(LEFT(J211,8)="Contract","Reply about their enquiry only","NO – needs consent first (PECR)")),"Yes – add opt-out + privacy link"))))</f>
        <v/>
      </c>
      <c r="N211" s="38"/>
      <c r="O211" s="39"/>
      <c r="P211" s="38"/>
      <c r="Q211" s="39"/>
      <c r="R211" s="43" t="str">
        <f aca="false">IF(C211="","",IF(Q211&lt;&gt;"",Q211,IF(OR(W211=1,N211="Won",N211="Lost",N211="Parked"),"",IF(O211&lt;&gt;"",O211+Lists!$N$2,IF(B211&lt;&gt;"",B211+Lists!$N$2,"")))))</f>
        <v/>
      </c>
      <c r="S211" s="42" t="str">
        <f aca="true">IF(C211="","",IF(W211=1,"Grey – do not email",IF(N211="Won","Won",IF(OR(N211="Lost",N211="Parked"),"Closed",IF(R211="","Amber – add next action",IF(R211&lt;TODAY(),"Red – overdue",IF(R211=TODAY(),"Red – due today",IF(R211-TODAY()&lt;=Lists!$N$3,"Amber – due soon","Green – on track"))))))))</f>
        <v/>
      </c>
      <c r="T211" s="44"/>
      <c r="U211" s="38"/>
      <c r="V211" s="42" t="str">
        <f aca="true">IF(OR(C211="",W211=1,N211="Won",N211="Lost"),"",IF(ISNUMBER(R211),IF(R211&lt;=TODAY(),R211+ROW()/100000,""),""))</f>
        <v/>
      </c>
      <c r="W211" s="42" t="n">
        <f aca="false">IF(OR(L211="Y",AND(G211&lt;&gt;"",COUNTIF('Do not contact'!$A$6:$A$505,G211)&gt;0)),1,0)</f>
        <v>0</v>
      </c>
    </row>
    <row r="212" customFormat="false" ht="27.75" hidden="false" customHeight="true" outlineLevel="0" collapsed="false">
      <c r="A212" s="38"/>
      <c r="B212" s="39"/>
      <c r="C212" s="38"/>
      <c r="D212" s="38"/>
      <c r="E212" s="38"/>
      <c r="F212" s="38"/>
      <c r="G212" s="38"/>
      <c r="H212" s="40"/>
      <c r="I212" s="38"/>
      <c r="J212" s="38"/>
      <c r="K212" s="38"/>
      <c r="L212" s="41"/>
      <c r="M212" s="42" t="str">
        <f aca="false">IF(C212="","",IF(W212=1,"NO – opted out. Do not email.",IF(I212="","Pick a contact type",IF(LEFT(I212,4)="Sole",IF(OR(LEFT(J212,7)="Consent",LEFT(J212,4)="Soft"),"Yes – add opt-out + privacy link",IF(LEFT(J212,8)="Contract","Reply about their enquiry only","NO – needs consent first (PECR)")),"Yes – add opt-out + privacy link"))))</f>
        <v/>
      </c>
      <c r="N212" s="38"/>
      <c r="O212" s="39"/>
      <c r="P212" s="38"/>
      <c r="Q212" s="39"/>
      <c r="R212" s="43" t="str">
        <f aca="false">IF(C212="","",IF(Q212&lt;&gt;"",Q212,IF(OR(W212=1,N212="Won",N212="Lost",N212="Parked"),"",IF(O212&lt;&gt;"",O212+Lists!$N$2,IF(B212&lt;&gt;"",B212+Lists!$N$2,"")))))</f>
        <v/>
      </c>
      <c r="S212" s="42" t="str">
        <f aca="true">IF(C212="","",IF(W212=1,"Grey – do not email",IF(N212="Won","Won",IF(OR(N212="Lost",N212="Parked"),"Closed",IF(R212="","Amber – add next action",IF(R212&lt;TODAY(),"Red – overdue",IF(R212=TODAY(),"Red – due today",IF(R212-TODAY()&lt;=Lists!$N$3,"Amber – due soon","Green – on track"))))))))</f>
        <v/>
      </c>
      <c r="T212" s="44"/>
      <c r="U212" s="38"/>
      <c r="V212" s="42" t="str">
        <f aca="true">IF(OR(C212="",W212=1,N212="Won",N212="Lost"),"",IF(ISNUMBER(R212),IF(R212&lt;=TODAY(),R212+ROW()/100000,""),""))</f>
        <v/>
      </c>
      <c r="W212" s="42" t="n">
        <f aca="false">IF(OR(L212="Y",AND(G212&lt;&gt;"",COUNTIF('Do not contact'!$A$6:$A$505,G212)&gt;0)),1,0)</f>
        <v>0</v>
      </c>
    </row>
    <row r="213" customFormat="false" ht="27.75" hidden="false" customHeight="true" outlineLevel="0" collapsed="false">
      <c r="A213" s="38"/>
      <c r="B213" s="39"/>
      <c r="C213" s="38"/>
      <c r="D213" s="38"/>
      <c r="E213" s="38"/>
      <c r="F213" s="38"/>
      <c r="G213" s="38"/>
      <c r="H213" s="40"/>
      <c r="I213" s="38"/>
      <c r="J213" s="38"/>
      <c r="K213" s="38"/>
      <c r="L213" s="41"/>
      <c r="M213" s="42" t="str">
        <f aca="false">IF(C213="","",IF(W213=1,"NO – opted out. Do not email.",IF(I213="","Pick a contact type",IF(LEFT(I213,4)="Sole",IF(OR(LEFT(J213,7)="Consent",LEFT(J213,4)="Soft"),"Yes – add opt-out + privacy link",IF(LEFT(J213,8)="Contract","Reply about their enquiry only","NO – needs consent first (PECR)")),"Yes – add opt-out + privacy link"))))</f>
        <v/>
      </c>
      <c r="N213" s="38"/>
      <c r="O213" s="39"/>
      <c r="P213" s="38"/>
      <c r="Q213" s="39"/>
      <c r="R213" s="43" t="str">
        <f aca="false">IF(C213="","",IF(Q213&lt;&gt;"",Q213,IF(OR(W213=1,N213="Won",N213="Lost",N213="Parked"),"",IF(O213&lt;&gt;"",O213+Lists!$N$2,IF(B213&lt;&gt;"",B213+Lists!$N$2,"")))))</f>
        <v/>
      </c>
      <c r="S213" s="42" t="str">
        <f aca="true">IF(C213="","",IF(W213=1,"Grey – do not email",IF(N213="Won","Won",IF(OR(N213="Lost",N213="Parked"),"Closed",IF(R213="","Amber – add next action",IF(R213&lt;TODAY(),"Red – overdue",IF(R213=TODAY(),"Red – due today",IF(R213-TODAY()&lt;=Lists!$N$3,"Amber – due soon","Green – on track"))))))))</f>
        <v/>
      </c>
      <c r="T213" s="44"/>
      <c r="U213" s="38"/>
      <c r="V213" s="42" t="str">
        <f aca="true">IF(OR(C213="",W213=1,N213="Won",N213="Lost"),"",IF(ISNUMBER(R213),IF(R213&lt;=TODAY(),R213+ROW()/100000,""),""))</f>
        <v/>
      </c>
      <c r="W213" s="42" t="n">
        <f aca="false">IF(OR(L213="Y",AND(G213&lt;&gt;"",COUNTIF('Do not contact'!$A$6:$A$505,G213)&gt;0)),1,0)</f>
        <v>0</v>
      </c>
    </row>
    <row r="214" customFormat="false" ht="27.75" hidden="false" customHeight="true" outlineLevel="0" collapsed="false">
      <c r="A214" s="38"/>
      <c r="B214" s="39"/>
      <c r="C214" s="38"/>
      <c r="D214" s="38"/>
      <c r="E214" s="38"/>
      <c r="F214" s="38"/>
      <c r="G214" s="38"/>
      <c r="H214" s="40"/>
      <c r="I214" s="38"/>
      <c r="J214" s="38"/>
      <c r="K214" s="38"/>
      <c r="L214" s="41"/>
      <c r="M214" s="42" t="str">
        <f aca="false">IF(C214="","",IF(W214=1,"NO – opted out. Do not email.",IF(I214="","Pick a contact type",IF(LEFT(I214,4)="Sole",IF(OR(LEFT(J214,7)="Consent",LEFT(J214,4)="Soft"),"Yes – add opt-out + privacy link",IF(LEFT(J214,8)="Contract","Reply about their enquiry only","NO – needs consent first (PECR)")),"Yes – add opt-out + privacy link"))))</f>
        <v/>
      </c>
      <c r="N214" s="38"/>
      <c r="O214" s="39"/>
      <c r="P214" s="38"/>
      <c r="Q214" s="39"/>
      <c r="R214" s="43" t="str">
        <f aca="false">IF(C214="","",IF(Q214&lt;&gt;"",Q214,IF(OR(W214=1,N214="Won",N214="Lost",N214="Parked"),"",IF(O214&lt;&gt;"",O214+Lists!$N$2,IF(B214&lt;&gt;"",B214+Lists!$N$2,"")))))</f>
        <v/>
      </c>
      <c r="S214" s="42" t="str">
        <f aca="true">IF(C214="","",IF(W214=1,"Grey – do not email",IF(N214="Won","Won",IF(OR(N214="Lost",N214="Parked"),"Closed",IF(R214="","Amber – add next action",IF(R214&lt;TODAY(),"Red – overdue",IF(R214=TODAY(),"Red – due today",IF(R214-TODAY()&lt;=Lists!$N$3,"Amber – due soon","Green – on track"))))))))</f>
        <v/>
      </c>
      <c r="T214" s="44"/>
      <c r="U214" s="38"/>
      <c r="V214" s="42" t="str">
        <f aca="true">IF(OR(C214="",W214=1,N214="Won",N214="Lost"),"",IF(ISNUMBER(R214),IF(R214&lt;=TODAY(),R214+ROW()/100000,""),""))</f>
        <v/>
      </c>
      <c r="W214" s="42" t="n">
        <f aca="false">IF(OR(L214="Y",AND(G214&lt;&gt;"",COUNTIF('Do not contact'!$A$6:$A$505,G214)&gt;0)),1,0)</f>
        <v>0</v>
      </c>
    </row>
    <row r="215" customFormat="false" ht="27.75" hidden="false" customHeight="true" outlineLevel="0" collapsed="false">
      <c r="A215" s="38"/>
      <c r="B215" s="39"/>
      <c r="C215" s="38"/>
      <c r="D215" s="38"/>
      <c r="E215" s="38"/>
      <c r="F215" s="38"/>
      <c r="G215" s="38"/>
      <c r="H215" s="40"/>
      <c r="I215" s="38"/>
      <c r="J215" s="38"/>
      <c r="K215" s="38"/>
      <c r="L215" s="41"/>
      <c r="M215" s="42" t="str">
        <f aca="false">IF(C215="","",IF(W215=1,"NO – opted out. Do not email.",IF(I215="","Pick a contact type",IF(LEFT(I215,4)="Sole",IF(OR(LEFT(J215,7)="Consent",LEFT(J215,4)="Soft"),"Yes – add opt-out + privacy link",IF(LEFT(J215,8)="Contract","Reply about their enquiry only","NO – needs consent first (PECR)")),"Yes – add opt-out + privacy link"))))</f>
        <v/>
      </c>
      <c r="N215" s="38"/>
      <c r="O215" s="39"/>
      <c r="P215" s="38"/>
      <c r="Q215" s="39"/>
      <c r="R215" s="43" t="str">
        <f aca="false">IF(C215="","",IF(Q215&lt;&gt;"",Q215,IF(OR(W215=1,N215="Won",N215="Lost",N215="Parked"),"",IF(O215&lt;&gt;"",O215+Lists!$N$2,IF(B215&lt;&gt;"",B215+Lists!$N$2,"")))))</f>
        <v/>
      </c>
      <c r="S215" s="42" t="str">
        <f aca="true">IF(C215="","",IF(W215=1,"Grey – do not email",IF(N215="Won","Won",IF(OR(N215="Lost",N215="Parked"),"Closed",IF(R215="","Amber – add next action",IF(R215&lt;TODAY(),"Red – overdue",IF(R215=TODAY(),"Red – due today",IF(R215-TODAY()&lt;=Lists!$N$3,"Amber – due soon","Green – on track"))))))))</f>
        <v/>
      </c>
      <c r="T215" s="44"/>
      <c r="U215" s="38"/>
      <c r="V215" s="42" t="str">
        <f aca="true">IF(OR(C215="",W215=1,N215="Won",N215="Lost"),"",IF(ISNUMBER(R215),IF(R215&lt;=TODAY(),R215+ROW()/100000,""),""))</f>
        <v/>
      </c>
      <c r="W215" s="42" t="n">
        <f aca="false">IF(OR(L215="Y",AND(G215&lt;&gt;"",COUNTIF('Do not contact'!$A$6:$A$505,G215)&gt;0)),1,0)</f>
        <v>0</v>
      </c>
    </row>
    <row r="216" customFormat="false" ht="27.75" hidden="false" customHeight="true" outlineLevel="0" collapsed="false">
      <c r="A216" s="38"/>
      <c r="B216" s="39"/>
      <c r="C216" s="38"/>
      <c r="D216" s="38"/>
      <c r="E216" s="38"/>
      <c r="F216" s="38"/>
      <c r="G216" s="38"/>
      <c r="H216" s="40"/>
      <c r="I216" s="38"/>
      <c r="J216" s="38"/>
      <c r="K216" s="38"/>
      <c r="L216" s="41"/>
      <c r="M216" s="42" t="str">
        <f aca="false">IF(C216="","",IF(W216=1,"NO – opted out. Do not email.",IF(I216="","Pick a contact type",IF(LEFT(I216,4)="Sole",IF(OR(LEFT(J216,7)="Consent",LEFT(J216,4)="Soft"),"Yes – add opt-out + privacy link",IF(LEFT(J216,8)="Contract","Reply about their enquiry only","NO – needs consent first (PECR)")),"Yes – add opt-out + privacy link"))))</f>
        <v/>
      </c>
      <c r="N216" s="38"/>
      <c r="O216" s="39"/>
      <c r="P216" s="38"/>
      <c r="Q216" s="39"/>
      <c r="R216" s="43" t="str">
        <f aca="false">IF(C216="","",IF(Q216&lt;&gt;"",Q216,IF(OR(W216=1,N216="Won",N216="Lost",N216="Parked"),"",IF(O216&lt;&gt;"",O216+Lists!$N$2,IF(B216&lt;&gt;"",B216+Lists!$N$2,"")))))</f>
        <v/>
      </c>
      <c r="S216" s="42" t="str">
        <f aca="true">IF(C216="","",IF(W216=1,"Grey – do not email",IF(N216="Won","Won",IF(OR(N216="Lost",N216="Parked"),"Closed",IF(R216="","Amber – add next action",IF(R216&lt;TODAY(),"Red – overdue",IF(R216=TODAY(),"Red – due today",IF(R216-TODAY()&lt;=Lists!$N$3,"Amber – due soon","Green – on track"))))))))</f>
        <v/>
      </c>
      <c r="T216" s="44"/>
      <c r="U216" s="38"/>
      <c r="V216" s="42" t="str">
        <f aca="true">IF(OR(C216="",W216=1,N216="Won",N216="Lost"),"",IF(ISNUMBER(R216),IF(R216&lt;=TODAY(),R216+ROW()/100000,""),""))</f>
        <v/>
      </c>
      <c r="W216" s="42" t="n">
        <f aca="false">IF(OR(L216="Y",AND(G216&lt;&gt;"",COUNTIF('Do not contact'!$A$6:$A$505,G216)&gt;0)),1,0)</f>
        <v>0</v>
      </c>
    </row>
    <row r="217" customFormat="false" ht="27.75" hidden="false" customHeight="true" outlineLevel="0" collapsed="false">
      <c r="A217" s="38"/>
      <c r="B217" s="39"/>
      <c r="C217" s="38"/>
      <c r="D217" s="38"/>
      <c r="E217" s="38"/>
      <c r="F217" s="38"/>
      <c r="G217" s="38"/>
      <c r="H217" s="40"/>
      <c r="I217" s="38"/>
      <c r="J217" s="38"/>
      <c r="K217" s="38"/>
      <c r="L217" s="41"/>
      <c r="M217" s="42" t="str">
        <f aca="false">IF(C217="","",IF(W217=1,"NO – opted out. Do not email.",IF(I217="","Pick a contact type",IF(LEFT(I217,4)="Sole",IF(OR(LEFT(J217,7)="Consent",LEFT(J217,4)="Soft"),"Yes – add opt-out + privacy link",IF(LEFT(J217,8)="Contract","Reply about their enquiry only","NO – needs consent first (PECR)")),"Yes – add opt-out + privacy link"))))</f>
        <v/>
      </c>
      <c r="N217" s="38"/>
      <c r="O217" s="39"/>
      <c r="P217" s="38"/>
      <c r="Q217" s="39"/>
      <c r="R217" s="43" t="str">
        <f aca="false">IF(C217="","",IF(Q217&lt;&gt;"",Q217,IF(OR(W217=1,N217="Won",N217="Lost",N217="Parked"),"",IF(O217&lt;&gt;"",O217+Lists!$N$2,IF(B217&lt;&gt;"",B217+Lists!$N$2,"")))))</f>
        <v/>
      </c>
      <c r="S217" s="42" t="str">
        <f aca="true">IF(C217="","",IF(W217=1,"Grey – do not email",IF(N217="Won","Won",IF(OR(N217="Lost",N217="Parked"),"Closed",IF(R217="","Amber – add next action",IF(R217&lt;TODAY(),"Red – overdue",IF(R217=TODAY(),"Red – due today",IF(R217-TODAY()&lt;=Lists!$N$3,"Amber – due soon","Green – on track"))))))))</f>
        <v/>
      </c>
      <c r="T217" s="44"/>
      <c r="U217" s="38"/>
      <c r="V217" s="42" t="str">
        <f aca="true">IF(OR(C217="",W217=1,N217="Won",N217="Lost"),"",IF(ISNUMBER(R217),IF(R217&lt;=TODAY(),R217+ROW()/100000,""),""))</f>
        <v/>
      </c>
      <c r="W217" s="42" t="n">
        <f aca="false">IF(OR(L217="Y",AND(G217&lt;&gt;"",COUNTIF('Do not contact'!$A$6:$A$505,G217)&gt;0)),1,0)</f>
        <v>0</v>
      </c>
    </row>
    <row r="218" customFormat="false" ht="27.75" hidden="false" customHeight="true" outlineLevel="0" collapsed="false">
      <c r="A218" s="38"/>
      <c r="B218" s="39"/>
      <c r="C218" s="38"/>
      <c r="D218" s="38"/>
      <c r="E218" s="38"/>
      <c r="F218" s="38"/>
      <c r="G218" s="38"/>
      <c r="H218" s="40"/>
      <c r="I218" s="38"/>
      <c r="J218" s="38"/>
      <c r="K218" s="38"/>
      <c r="L218" s="41"/>
      <c r="M218" s="42" t="str">
        <f aca="false">IF(C218="","",IF(W218=1,"NO – opted out. Do not email.",IF(I218="","Pick a contact type",IF(LEFT(I218,4)="Sole",IF(OR(LEFT(J218,7)="Consent",LEFT(J218,4)="Soft"),"Yes – add opt-out + privacy link",IF(LEFT(J218,8)="Contract","Reply about their enquiry only","NO – needs consent first (PECR)")),"Yes – add opt-out + privacy link"))))</f>
        <v/>
      </c>
      <c r="N218" s="38"/>
      <c r="O218" s="39"/>
      <c r="P218" s="38"/>
      <c r="Q218" s="39"/>
      <c r="R218" s="43" t="str">
        <f aca="false">IF(C218="","",IF(Q218&lt;&gt;"",Q218,IF(OR(W218=1,N218="Won",N218="Lost",N218="Parked"),"",IF(O218&lt;&gt;"",O218+Lists!$N$2,IF(B218&lt;&gt;"",B218+Lists!$N$2,"")))))</f>
        <v/>
      </c>
      <c r="S218" s="42" t="str">
        <f aca="true">IF(C218="","",IF(W218=1,"Grey – do not email",IF(N218="Won","Won",IF(OR(N218="Lost",N218="Parked"),"Closed",IF(R218="","Amber – add next action",IF(R218&lt;TODAY(),"Red – overdue",IF(R218=TODAY(),"Red – due today",IF(R218-TODAY()&lt;=Lists!$N$3,"Amber – due soon","Green – on track"))))))))</f>
        <v/>
      </c>
      <c r="T218" s="44"/>
      <c r="U218" s="38"/>
      <c r="V218" s="42" t="str">
        <f aca="true">IF(OR(C218="",W218=1,N218="Won",N218="Lost"),"",IF(ISNUMBER(R218),IF(R218&lt;=TODAY(),R218+ROW()/100000,""),""))</f>
        <v/>
      </c>
      <c r="W218" s="42" t="n">
        <f aca="false">IF(OR(L218="Y",AND(G218&lt;&gt;"",COUNTIF('Do not contact'!$A$6:$A$505,G218)&gt;0)),1,0)</f>
        <v>0</v>
      </c>
    </row>
    <row r="219" customFormat="false" ht="27.75" hidden="false" customHeight="true" outlineLevel="0" collapsed="false">
      <c r="A219" s="38"/>
      <c r="B219" s="39"/>
      <c r="C219" s="38"/>
      <c r="D219" s="38"/>
      <c r="E219" s="38"/>
      <c r="F219" s="38"/>
      <c r="G219" s="38"/>
      <c r="H219" s="40"/>
      <c r="I219" s="38"/>
      <c r="J219" s="38"/>
      <c r="K219" s="38"/>
      <c r="L219" s="41"/>
      <c r="M219" s="42" t="str">
        <f aca="false">IF(C219="","",IF(W219=1,"NO – opted out. Do not email.",IF(I219="","Pick a contact type",IF(LEFT(I219,4)="Sole",IF(OR(LEFT(J219,7)="Consent",LEFT(J219,4)="Soft"),"Yes – add opt-out + privacy link",IF(LEFT(J219,8)="Contract","Reply about their enquiry only","NO – needs consent first (PECR)")),"Yes – add opt-out + privacy link"))))</f>
        <v/>
      </c>
      <c r="N219" s="38"/>
      <c r="O219" s="39"/>
      <c r="P219" s="38"/>
      <c r="Q219" s="39"/>
      <c r="R219" s="43" t="str">
        <f aca="false">IF(C219="","",IF(Q219&lt;&gt;"",Q219,IF(OR(W219=1,N219="Won",N219="Lost",N219="Parked"),"",IF(O219&lt;&gt;"",O219+Lists!$N$2,IF(B219&lt;&gt;"",B219+Lists!$N$2,"")))))</f>
        <v/>
      </c>
      <c r="S219" s="42" t="str">
        <f aca="true">IF(C219="","",IF(W219=1,"Grey – do not email",IF(N219="Won","Won",IF(OR(N219="Lost",N219="Parked"),"Closed",IF(R219="","Amber – add next action",IF(R219&lt;TODAY(),"Red – overdue",IF(R219=TODAY(),"Red – due today",IF(R219-TODAY()&lt;=Lists!$N$3,"Amber – due soon","Green – on track"))))))))</f>
        <v/>
      </c>
      <c r="T219" s="44"/>
      <c r="U219" s="38"/>
      <c r="V219" s="42" t="str">
        <f aca="true">IF(OR(C219="",W219=1,N219="Won",N219="Lost"),"",IF(ISNUMBER(R219),IF(R219&lt;=TODAY(),R219+ROW()/100000,""),""))</f>
        <v/>
      </c>
      <c r="W219" s="42" t="n">
        <f aca="false">IF(OR(L219="Y",AND(G219&lt;&gt;"",COUNTIF('Do not contact'!$A$6:$A$505,G219)&gt;0)),1,0)</f>
        <v>0</v>
      </c>
    </row>
    <row r="220" customFormat="false" ht="27.75" hidden="false" customHeight="true" outlineLevel="0" collapsed="false">
      <c r="A220" s="38"/>
      <c r="B220" s="39"/>
      <c r="C220" s="38"/>
      <c r="D220" s="38"/>
      <c r="E220" s="38"/>
      <c r="F220" s="38"/>
      <c r="G220" s="38"/>
      <c r="H220" s="40"/>
      <c r="I220" s="38"/>
      <c r="J220" s="38"/>
      <c r="K220" s="38"/>
      <c r="L220" s="41"/>
      <c r="M220" s="42" t="str">
        <f aca="false">IF(C220="","",IF(W220=1,"NO – opted out. Do not email.",IF(I220="","Pick a contact type",IF(LEFT(I220,4)="Sole",IF(OR(LEFT(J220,7)="Consent",LEFT(J220,4)="Soft"),"Yes – add opt-out + privacy link",IF(LEFT(J220,8)="Contract","Reply about their enquiry only","NO – needs consent first (PECR)")),"Yes – add opt-out + privacy link"))))</f>
        <v/>
      </c>
      <c r="N220" s="38"/>
      <c r="O220" s="39"/>
      <c r="P220" s="38"/>
      <c r="Q220" s="39"/>
      <c r="R220" s="43" t="str">
        <f aca="false">IF(C220="","",IF(Q220&lt;&gt;"",Q220,IF(OR(W220=1,N220="Won",N220="Lost",N220="Parked"),"",IF(O220&lt;&gt;"",O220+Lists!$N$2,IF(B220&lt;&gt;"",B220+Lists!$N$2,"")))))</f>
        <v/>
      </c>
      <c r="S220" s="42" t="str">
        <f aca="true">IF(C220="","",IF(W220=1,"Grey – do not email",IF(N220="Won","Won",IF(OR(N220="Lost",N220="Parked"),"Closed",IF(R220="","Amber – add next action",IF(R220&lt;TODAY(),"Red – overdue",IF(R220=TODAY(),"Red – due today",IF(R220-TODAY()&lt;=Lists!$N$3,"Amber – due soon","Green – on track"))))))))</f>
        <v/>
      </c>
      <c r="T220" s="44"/>
      <c r="U220" s="38"/>
      <c r="V220" s="42" t="str">
        <f aca="true">IF(OR(C220="",W220=1,N220="Won",N220="Lost"),"",IF(ISNUMBER(R220),IF(R220&lt;=TODAY(),R220+ROW()/100000,""),""))</f>
        <v/>
      </c>
      <c r="W220" s="42" t="n">
        <f aca="false">IF(OR(L220="Y",AND(G220&lt;&gt;"",COUNTIF('Do not contact'!$A$6:$A$505,G220)&gt;0)),1,0)</f>
        <v>0</v>
      </c>
    </row>
    <row r="221" customFormat="false" ht="27.75" hidden="false" customHeight="true" outlineLevel="0" collapsed="false">
      <c r="A221" s="38"/>
      <c r="B221" s="39"/>
      <c r="C221" s="38"/>
      <c r="D221" s="38"/>
      <c r="E221" s="38"/>
      <c r="F221" s="38"/>
      <c r="G221" s="38"/>
      <c r="H221" s="40"/>
      <c r="I221" s="38"/>
      <c r="J221" s="38"/>
      <c r="K221" s="38"/>
      <c r="L221" s="41"/>
      <c r="M221" s="42" t="str">
        <f aca="false">IF(C221="","",IF(W221=1,"NO – opted out. Do not email.",IF(I221="","Pick a contact type",IF(LEFT(I221,4)="Sole",IF(OR(LEFT(J221,7)="Consent",LEFT(J221,4)="Soft"),"Yes – add opt-out + privacy link",IF(LEFT(J221,8)="Contract","Reply about their enquiry only","NO – needs consent first (PECR)")),"Yes – add opt-out + privacy link"))))</f>
        <v/>
      </c>
      <c r="N221" s="38"/>
      <c r="O221" s="39"/>
      <c r="P221" s="38"/>
      <c r="Q221" s="39"/>
      <c r="R221" s="43" t="str">
        <f aca="false">IF(C221="","",IF(Q221&lt;&gt;"",Q221,IF(OR(W221=1,N221="Won",N221="Lost",N221="Parked"),"",IF(O221&lt;&gt;"",O221+Lists!$N$2,IF(B221&lt;&gt;"",B221+Lists!$N$2,"")))))</f>
        <v/>
      </c>
      <c r="S221" s="42" t="str">
        <f aca="true">IF(C221="","",IF(W221=1,"Grey – do not email",IF(N221="Won","Won",IF(OR(N221="Lost",N221="Parked"),"Closed",IF(R221="","Amber – add next action",IF(R221&lt;TODAY(),"Red – overdue",IF(R221=TODAY(),"Red – due today",IF(R221-TODAY()&lt;=Lists!$N$3,"Amber – due soon","Green – on track"))))))))</f>
        <v/>
      </c>
      <c r="T221" s="44"/>
      <c r="U221" s="38"/>
      <c r="V221" s="42" t="str">
        <f aca="true">IF(OR(C221="",W221=1,N221="Won",N221="Lost"),"",IF(ISNUMBER(R221),IF(R221&lt;=TODAY(),R221+ROW()/100000,""),""))</f>
        <v/>
      </c>
      <c r="W221" s="42" t="n">
        <f aca="false">IF(OR(L221="Y",AND(G221&lt;&gt;"",COUNTIF('Do not contact'!$A$6:$A$505,G221)&gt;0)),1,0)</f>
        <v>0</v>
      </c>
    </row>
    <row r="222" customFormat="false" ht="27.75" hidden="false" customHeight="true" outlineLevel="0" collapsed="false">
      <c r="A222" s="38"/>
      <c r="B222" s="39"/>
      <c r="C222" s="38"/>
      <c r="D222" s="38"/>
      <c r="E222" s="38"/>
      <c r="F222" s="38"/>
      <c r="G222" s="38"/>
      <c r="H222" s="40"/>
      <c r="I222" s="38"/>
      <c r="J222" s="38"/>
      <c r="K222" s="38"/>
      <c r="L222" s="41"/>
      <c r="M222" s="42" t="str">
        <f aca="false">IF(C222="","",IF(W222=1,"NO – opted out. Do not email.",IF(I222="","Pick a contact type",IF(LEFT(I222,4)="Sole",IF(OR(LEFT(J222,7)="Consent",LEFT(J222,4)="Soft"),"Yes – add opt-out + privacy link",IF(LEFT(J222,8)="Contract","Reply about their enquiry only","NO – needs consent first (PECR)")),"Yes – add opt-out + privacy link"))))</f>
        <v/>
      </c>
      <c r="N222" s="38"/>
      <c r="O222" s="39"/>
      <c r="P222" s="38"/>
      <c r="Q222" s="39"/>
      <c r="R222" s="43" t="str">
        <f aca="false">IF(C222="","",IF(Q222&lt;&gt;"",Q222,IF(OR(W222=1,N222="Won",N222="Lost",N222="Parked"),"",IF(O222&lt;&gt;"",O222+Lists!$N$2,IF(B222&lt;&gt;"",B222+Lists!$N$2,"")))))</f>
        <v/>
      </c>
      <c r="S222" s="42" t="str">
        <f aca="true">IF(C222="","",IF(W222=1,"Grey – do not email",IF(N222="Won","Won",IF(OR(N222="Lost",N222="Parked"),"Closed",IF(R222="","Amber – add next action",IF(R222&lt;TODAY(),"Red – overdue",IF(R222=TODAY(),"Red – due today",IF(R222-TODAY()&lt;=Lists!$N$3,"Amber – due soon","Green – on track"))))))))</f>
        <v/>
      </c>
      <c r="T222" s="44"/>
      <c r="U222" s="38"/>
      <c r="V222" s="42" t="str">
        <f aca="true">IF(OR(C222="",W222=1,N222="Won",N222="Lost"),"",IF(ISNUMBER(R222),IF(R222&lt;=TODAY(),R222+ROW()/100000,""),""))</f>
        <v/>
      </c>
      <c r="W222" s="42" t="n">
        <f aca="false">IF(OR(L222="Y",AND(G222&lt;&gt;"",COUNTIF('Do not contact'!$A$6:$A$505,G222)&gt;0)),1,0)</f>
        <v>0</v>
      </c>
    </row>
    <row r="223" customFormat="false" ht="27.75" hidden="false" customHeight="true" outlineLevel="0" collapsed="false">
      <c r="A223" s="38"/>
      <c r="B223" s="39"/>
      <c r="C223" s="38"/>
      <c r="D223" s="38"/>
      <c r="E223" s="38"/>
      <c r="F223" s="38"/>
      <c r="G223" s="38"/>
      <c r="H223" s="40"/>
      <c r="I223" s="38"/>
      <c r="J223" s="38"/>
      <c r="K223" s="38"/>
      <c r="L223" s="41"/>
      <c r="M223" s="42" t="str">
        <f aca="false">IF(C223="","",IF(W223=1,"NO – opted out. Do not email.",IF(I223="","Pick a contact type",IF(LEFT(I223,4)="Sole",IF(OR(LEFT(J223,7)="Consent",LEFT(J223,4)="Soft"),"Yes – add opt-out + privacy link",IF(LEFT(J223,8)="Contract","Reply about their enquiry only","NO – needs consent first (PECR)")),"Yes – add opt-out + privacy link"))))</f>
        <v/>
      </c>
      <c r="N223" s="38"/>
      <c r="O223" s="39"/>
      <c r="P223" s="38"/>
      <c r="Q223" s="39"/>
      <c r="R223" s="43" t="str">
        <f aca="false">IF(C223="","",IF(Q223&lt;&gt;"",Q223,IF(OR(W223=1,N223="Won",N223="Lost",N223="Parked"),"",IF(O223&lt;&gt;"",O223+Lists!$N$2,IF(B223&lt;&gt;"",B223+Lists!$N$2,"")))))</f>
        <v/>
      </c>
      <c r="S223" s="42" t="str">
        <f aca="true">IF(C223="","",IF(W223=1,"Grey – do not email",IF(N223="Won","Won",IF(OR(N223="Lost",N223="Parked"),"Closed",IF(R223="","Amber – add next action",IF(R223&lt;TODAY(),"Red – overdue",IF(R223=TODAY(),"Red – due today",IF(R223-TODAY()&lt;=Lists!$N$3,"Amber – due soon","Green – on track"))))))))</f>
        <v/>
      </c>
      <c r="T223" s="44"/>
      <c r="U223" s="38"/>
      <c r="V223" s="42" t="str">
        <f aca="true">IF(OR(C223="",W223=1,N223="Won",N223="Lost"),"",IF(ISNUMBER(R223),IF(R223&lt;=TODAY(),R223+ROW()/100000,""),""))</f>
        <v/>
      </c>
      <c r="W223" s="42" t="n">
        <f aca="false">IF(OR(L223="Y",AND(G223&lt;&gt;"",COUNTIF('Do not contact'!$A$6:$A$505,G223)&gt;0)),1,0)</f>
        <v>0</v>
      </c>
    </row>
    <row r="224" customFormat="false" ht="27.75" hidden="false" customHeight="true" outlineLevel="0" collapsed="false">
      <c r="A224" s="38"/>
      <c r="B224" s="39"/>
      <c r="C224" s="38"/>
      <c r="D224" s="38"/>
      <c r="E224" s="38"/>
      <c r="F224" s="38"/>
      <c r="G224" s="38"/>
      <c r="H224" s="40"/>
      <c r="I224" s="38"/>
      <c r="J224" s="38"/>
      <c r="K224" s="38"/>
      <c r="L224" s="41"/>
      <c r="M224" s="42" t="str">
        <f aca="false">IF(C224="","",IF(W224=1,"NO – opted out. Do not email.",IF(I224="","Pick a contact type",IF(LEFT(I224,4)="Sole",IF(OR(LEFT(J224,7)="Consent",LEFT(J224,4)="Soft"),"Yes – add opt-out + privacy link",IF(LEFT(J224,8)="Contract","Reply about their enquiry only","NO – needs consent first (PECR)")),"Yes – add opt-out + privacy link"))))</f>
        <v/>
      </c>
      <c r="N224" s="38"/>
      <c r="O224" s="39"/>
      <c r="P224" s="38"/>
      <c r="Q224" s="39"/>
      <c r="R224" s="43" t="str">
        <f aca="false">IF(C224="","",IF(Q224&lt;&gt;"",Q224,IF(OR(W224=1,N224="Won",N224="Lost",N224="Parked"),"",IF(O224&lt;&gt;"",O224+Lists!$N$2,IF(B224&lt;&gt;"",B224+Lists!$N$2,"")))))</f>
        <v/>
      </c>
      <c r="S224" s="42" t="str">
        <f aca="true">IF(C224="","",IF(W224=1,"Grey – do not email",IF(N224="Won","Won",IF(OR(N224="Lost",N224="Parked"),"Closed",IF(R224="","Amber – add next action",IF(R224&lt;TODAY(),"Red – overdue",IF(R224=TODAY(),"Red – due today",IF(R224-TODAY()&lt;=Lists!$N$3,"Amber – due soon","Green – on track"))))))))</f>
        <v/>
      </c>
      <c r="T224" s="44"/>
      <c r="U224" s="38"/>
      <c r="V224" s="42" t="str">
        <f aca="true">IF(OR(C224="",W224=1,N224="Won",N224="Lost"),"",IF(ISNUMBER(R224),IF(R224&lt;=TODAY(),R224+ROW()/100000,""),""))</f>
        <v/>
      </c>
      <c r="W224" s="42" t="n">
        <f aca="false">IF(OR(L224="Y",AND(G224&lt;&gt;"",COUNTIF('Do not contact'!$A$6:$A$505,G224)&gt;0)),1,0)</f>
        <v>0</v>
      </c>
    </row>
    <row r="225" customFormat="false" ht="27.75" hidden="false" customHeight="true" outlineLevel="0" collapsed="false">
      <c r="A225" s="38"/>
      <c r="B225" s="39"/>
      <c r="C225" s="38"/>
      <c r="D225" s="38"/>
      <c r="E225" s="38"/>
      <c r="F225" s="38"/>
      <c r="G225" s="38"/>
      <c r="H225" s="40"/>
      <c r="I225" s="38"/>
      <c r="J225" s="38"/>
      <c r="K225" s="38"/>
      <c r="L225" s="41"/>
      <c r="M225" s="42" t="str">
        <f aca="false">IF(C225="","",IF(W225=1,"NO – opted out. Do not email.",IF(I225="","Pick a contact type",IF(LEFT(I225,4)="Sole",IF(OR(LEFT(J225,7)="Consent",LEFT(J225,4)="Soft"),"Yes – add opt-out + privacy link",IF(LEFT(J225,8)="Contract","Reply about their enquiry only","NO – needs consent first (PECR)")),"Yes – add opt-out + privacy link"))))</f>
        <v/>
      </c>
      <c r="N225" s="38"/>
      <c r="O225" s="39"/>
      <c r="P225" s="38"/>
      <c r="Q225" s="39"/>
      <c r="R225" s="43" t="str">
        <f aca="false">IF(C225="","",IF(Q225&lt;&gt;"",Q225,IF(OR(W225=1,N225="Won",N225="Lost",N225="Parked"),"",IF(O225&lt;&gt;"",O225+Lists!$N$2,IF(B225&lt;&gt;"",B225+Lists!$N$2,"")))))</f>
        <v/>
      </c>
      <c r="S225" s="42" t="str">
        <f aca="true">IF(C225="","",IF(W225=1,"Grey – do not email",IF(N225="Won","Won",IF(OR(N225="Lost",N225="Parked"),"Closed",IF(R225="","Amber – add next action",IF(R225&lt;TODAY(),"Red – overdue",IF(R225=TODAY(),"Red – due today",IF(R225-TODAY()&lt;=Lists!$N$3,"Amber – due soon","Green – on track"))))))))</f>
        <v/>
      </c>
      <c r="T225" s="44"/>
      <c r="U225" s="38"/>
      <c r="V225" s="42" t="str">
        <f aca="true">IF(OR(C225="",W225=1,N225="Won",N225="Lost"),"",IF(ISNUMBER(R225),IF(R225&lt;=TODAY(),R225+ROW()/100000,""),""))</f>
        <v/>
      </c>
      <c r="W225" s="42" t="n">
        <f aca="false">IF(OR(L225="Y",AND(G225&lt;&gt;"",COUNTIF('Do not contact'!$A$6:$A$505,G225)&gt;0)),1,0)</f>
        <v>0</v>
      </c>
    </row>
    <row r="226" customFormat="false" ht="27.75" hidden="false" customHeight="true" outlineLevel="0" collapsed="false">
      <c r="A226" s="38"/>
      <c r="B226" s="39"/>
      <c r="C226" s="38"/>
      <c r="D226" s="38"/>
      <c r="E226" s="38"/>
      <c r="F226" s="38"/>
      <c r="G226" s="38"/>
      <c r="H226" s="40"/>
      <c r="I226" s="38"/>
      <c r="J226" s="38"/>
      <c r="K226" s="38"/>
      <c r="L226" s="41"/>
      <c r="M226" s="42" t="str">
        <f aca="false">IF(C226="","",IF(W226=1,"NO – opted out. Do not email.",IF(I226="","Pick a contact type",IF(LEFT(I226,4)="Sole",IF(OR(LEFT(J226,7)="Consent",LEFT(J226,4)="Soft"),"Yes – add opt-out + privacy link",IF(LEFT(J226,8)="Contract","Reply about their enquiry only","NO – needs consent first (PECR)")),"Yes – add opt-out + privacy link"))))</f>
        <v/>
      </c>
      <c r="N226" s="38"/>
      <c r="O226" s="39"/>
      <c r="P226" s="38"/>
      <c r="Q226" s="39"/>
      <c r="R226" s="43" t="str">
        <f aca="false">IF(C226="","",IF(Q226&lt;&gt;"",Q226,IF(OR(W226=1,N226="Won",N226="Lost",N226="Parked"),"",IF(O226&lt;&gt;"",O226+Lists!$N$2,IF(B226&lt;&gt;"",B226+Lists!$N$2,"")))))</f>
        <v/>
      </c>
      <c r="S226" s="42" t="str">
        <f aca="true">IF(C226="","",IF(W226=1,"Grey – do not email",IF(N226="Won","Won",IF(OR(N226="Lost",N226="Parked"),"Closed",IF(R226="","Amber – add next action",IF(R226&lt;TODAY(),"Red – overdue",IF(R226=TODAY(),"Red – due today",IF(R226-TODAY()&lt;=Lists!$N$3,"Amber – due soon","Green – on track"))))))))</f>
        <v/>
      </c>
      <c r="T226" s="44"/>
      <c r="U226" s="38"/>
      <c r="V226" s="42" t="str">
        <f aca="true">IF(OR(C226="",W226=1,N226="Won",N226="Lost"),"",IF(ISNUMBER(R226),IF(R226&lt;=TODAY(),R226+ROW()/100000,""),""))</f>
        <v/>
      </c>
      <c r="W226" s="42" t="n">
        <f aca="false">IF(OR(L226="Y",AND(G226&lt;&gt;"",COUNTIF('Do not contact'!$A$6:$A$505,G226)&gt;0)),1,0)</f>
        <v>0</v>
      </c>
    </row>
    <row r="227" customFormat="false" ht="27.75" hidden="false" customHeight="true" outlineLevel="0" collapsed="false">
      <c r="A227" s="38"/>
      <c r="B227" s="39"/>
      <c r="C227" s="38"/>
      <c r="D227" s="38"/>
      <c r="E227" s="38"/>
      <c r="F227" s="38"/>
      <c r="G227" s="38"/>
      <c r="H227" s="40"/>
      <c r="I227" s="38"/>
      <c r="J227" s="38"/>
      <c r="K227" s="38"/>
      <c r="L227" s="41"/>
      <c r="M227" s="42" t="str">
        <f aca="false">IF(C227="","",IF(W227=1,"NO – opted out. Do not email.",IF(I227="","Pick a contact type",IF(LEFT(I227,4)="Sole",IF(OR(LEFT(J227,7)="Consent",LEFT(J227,4)="Soft"),"Yes – add opt-out + privacy link",IF(LEFT(J227,8)="Contract","Reply about their enquiry only","NO – needs consent first (PECR)")),"Yes – add opt-out + privacy link"))))</f>
        <v/>
      </c>
      <c r="N227" s="38"/>
      <c r="O227" s="39"/>
      <c r="P227" s="38"/>
      <c r="Q227" s="39"/>
      <c r="R227" s="43" t="str">
        <f aca="false">IF(C227="","",IF(Q227&lt;&gt;"",Q227,IF(OR(W227=1,N227="Won",N227="Lost",N227="Parked"),"",IF(O227&lt;&gt;"",O227+Lists!$N$2,IF(B227&lt;&gt;"",B227+Lists!$N$2,"")))))</f>
        <v/>
      </c>
      <c r="S227" s="42" t="str">
        <f aca="true">IF(C227="","",IF(W227=1,"Grey – do not email",IF(N227="Won","Won",IF(OR(N227="Lost",N227="Parked"),"Closed",IF(R227="","Amber – add next action",IF(R227&lt;TODAY(),"Red – overdue",IF(R227=TODAY(),"Red – due today",IF(R227-TODAY()&lt;=Lists!$N$3,"Amber – due soon","Green – on track"))))))))</f>
        <v/>
      </c>
      <c r="T227" s="44"/>
      <c r="U227" s="38"/>
      <c r="V227" s="42" t="str">
        <f aca="true">IF(OR(C227="",W227=1,N227="Won",N227="Lost"),"",IF(ISNUMBER(R227),IF(R227&lt;=TODAY(),R227+ROW()/100000,""),""))</f>
        <v/>
      </c>
      <c r="W227" s="42" t="n">
        <f aca="false">IF(OR(L227="Y",AND(G227&lt;&gt;"",COUNTIF('Do not contact'!$A$6:$A$505,G227)&gt;0)),1,0)</f>
        <v>0</v>
      </c>
    </row>
    <row r="228" customFormat="false" ht="27.75" hidden="false" customHeight="true" outlineLevel="0" collapsed="false">
      <c r="A228" s="38"/>
      <c r="B228" s="39"/>
      <c r="C228" s="38"/>
      <c r="D228" s="38"/>
      <c r="E228" s="38"/>
      <c r="F228" s="38"/>
      <c r="G228" s="38"/>
      <c r="H228" s="40"/>
      <c r="I228" s="38"/>
      <c r="J228" s="38"/>
      <c r="K228" s="38"/>
      <c r="L228" s="41"/>
      <c r="M228" s="42" t="str">
        <f aca="false">IF(C228="","",IF(W228=1,"NO – opted out. Do not email.",IF(I228="","Pick a contact type",IF(LEFT(I228,4)="Sole",IF(OR(LEFT(J228,7)="Consent",LEFT(J228,4)="Soft"),"Yes – add opt-out + privacy link",IF(LEFT(J228,8)="Contract","Reply about their enquiry only","NO – needs consent first (PECR)")),"Yes – add opt-out + privacy link"))))</f>
        <v/>
      </c>
      <c r="N228" s="38"/>
      <c r="O228" s="39"/>
      <c r="P228" s="38"/>
      <c r="Q228" s="39"/>
      <c r="R228" s="43" t="str">
        <f aca="false">IF(C228="","",IF(Q228&lt;&gt;"",Q228,IF(OR(W228=1,N228="Won",N228="Lost",N228="Parked"),"",IF(O228&lt;&gt;"",O228+Lists!$N$2,IF(B228&lt;&gt;"",B228+Lists!$N$2,"")))))</f>
        <v/>
      </c>
      <c r="S228" s="42" t="str">
        <f aca="true">IF(C228="","",IF(W228=1,"Grey – do not email",IF(N228="Won","Won",IF(OR(N228="Lost",N228="Parked"),"Closed",IF(R228="","Amber – add next action",IF(R228&lt;TODAY(),"Red – overdue",IF(R228=TODAY(),"Red – due today",IF(R228-TODAY()&lt;=Lists!$N$3,"Amber – due soon","Green – on track"))))))))</f>
        <v/>
      </c>
      <c r="T228" s="44"/>
      <c r="U228" s="38"/>
      <c r="V228" s="42" t="str">
        <f aca="true">IF(OR(C228="",W228=1,N228="Won",N228="Lost"),"",IF(ISNUMBER(R228),IF(R228&lt;=TODAY(),R228+ROW()/100000,""),""))</f>
        <v/>
      </c>
      <c r="W228" s="42" t="n">
        <f aca="false">IF(OR(L228="Y",AND(G228&lt;&gt;"",COUNTIF('Do not contact'!$A$6:$A$505,G228)&gt;0)),1,0)</f>
        <v>0</v>
      </c>
    </row>
    <row r="229" customFormat="false" ht="27.75" hidden="false" customHeight="true" outlineLevel="0" collapsed="false">
      <c r="A229" s="38"/>
      <c r="B229" s="39"/>
      <c r="C229" s="38"/>
      <c r="D229" s="38"/>
      <c r="E229" s="38"/>
      <c r="F229" s="38"/>
      <c r="G229" s="38"/>
      <c r="H229" s="40"/>
      <c r="I229" s="38"/>
      <c r="J229" s="38"/>
      <c r="K229" s="38"/>
      <c r="L229" s="41"/>
      <c r="M229" s="42" t="str">
        <f aca="false">IF(C229="","",IF(W229=1,"NO – opted out. Do not email.",IF(I229="","Pick a contact type",IF(LEFT(I229,4)="Sole",IF(OR(LEFT(J229,7)="Consent",LEFT(J229,4)="Soft"),"Yes – add opt-out + privacy link",IF(LEFT(J229,8)="Contract","Reply about their enquiry only","NO – needs consent first (PECR)")),"Yes – add opt-out + privacy link"))))</f>
        <v/>
      </c>
      <c r="N229" s="38"/>
      <c r="O229" s="39"/>
      <c r="P229" s="38"/>
      <c r="Q229" s="39"/>
      <c r="R229" s="43" t="str">
        <f aca="false">IF(C229="","",IF(Q229&lt;&gt;"",Q229,IF(OR(W229=1,N229="Won",N229="Lost",N229="Parked"),"",IF(O229&lt;&gt;"",O229+Lists!$N$2,IF(B229&lt;&gt;"",B229+Lists!$N$2,"")))))</f>
        <v/>
      </c>
      <c r="S229" s="42" t="str">
        <f aca="true">IF(C229="","",IF(W229=1,"Grey – do not email",IF(N229="Won","Won",IF(OR(N229="Lost",N229="Parked"),"Closed",IF(R229="","Amber – add next action",IF(R229&lt;TODAY(),"Red – overdue",IF(R229=TODAY(),"Red – due today",IF(R229-TODAY()&lt;=Lists!$N$3,"Amber – due soon","Green – on track"))))))))</f>
        <v/>
      </c>
      <c r="T229" s="44"/>
      <c r="U229" s="38"/>
      <c r="V229" s="42" t="str">
        <f aca="true">IF(OR(C229="",W229=1,N229="Won",N229="Lost"),"",IF(ISNUMBER(R229),IF(R229&lt;=TODAY(),R229+ROW()/100000,""),""))</f>
        <v/>
      </c>
      <c r="W229" s="42" t="n">
        <f aca="false">IF(OR(L229="Y",AND(G229&lt;&gt;"",COUNTIF('Do not contact'!$A$6:$A$505,G229)&gt;0)),1,0)</f>
        <v>0</v>
      </c>
    </row>
    <row r="230" customFormat="false" ht="27.75" hidden="false" customHeight="true" outlineLevel="0" collapsed="false">
      <c r="A230" s="38"/>
      <c r="B230" s="39"/>
      <c r="C230" s="38"/>
      <c r="D230" s="38"/>
      <c r="E230" s="38"/>
      <c r="F230" s="38"/>
      <c r="G230" s="38"/>
      <c r="H230" s="40"/>
      <c r="I230" s="38"/>
      <c r="J230" s="38"/>
      <c r="K230" s="38"/>
      <c r="L230" s="41"/>
      <c r="M230" s="42" t="str">
        <f aca="false">IF(C230="","",IF(W230=1,"NO – opted out. Do not email.",IF(I230="","Pick a contact type",IF(LEFT(I230,4)="Sole",IF(OR(LEFT(J230,7)="Consent",LEFT(J230,4)="Soft"),"Yes – add opt-out + privacy link",IF(LEFT(J230,8)="Contract","Reply about their enquiry only","NO – needs consent first (PECR)")),"Yes – add opt-out + privacy link"))))</f>
        <v/>
      </c>
      <c r="N230" s="38"/>
      <c r="O230" s="39"/>
      <c r="P230" s="38"/>
      <c r="Q230" s="39"/>
      <c r="R230" s="43" t="str">
        <f aca="false">IF(C230="","",IF(Q230&lt;&gt;"",Q230,IF(OR(W230=1,N230="Won",N230="Lost",N230="Parked"),"",IF(O230&lt;&gt;"",O230+Lists!$N$2,IF(B230&lt;&gt;"",B230+Lists!$N$2,"")))))</f>
        <v/>
      </c>
      <c r="S230" s="42" t="str">
        <f aca="true">IF(C230="","",IF(W230=1,"Grey – do not email",IF(N230="Won","Won",IF(OR(N230="Lost",N230="Parked"),"Closed",IF(R230="","Amber – add next action",IF(R230&lt;TODAY(),"Red – overdue",IF(R230=TODAY(),"Red – due today",IF(R230-TODAY()&lt;=Lists!$N$3,"Amber – due soon","Green – on track"))))))))</f>
        <v/>
      </c>
      <c r="T230" s="44"/>
      <c r="U230" s="38"/>
      <c r="V230" s="42" t="str">
        <f aca="true">IF(OR(C230="",W230=1,N230="Won",N230="Lost"),"",IF(ISNUMBER(R230),IF(R230&lt;=TODAY(),R230+ROW()/100000,""),""))</f>
        <v/>
      </c>
      <c r="W230" s="42" t="n">
        <f aca="false">IF(OR(L230="Y",AND(G230&lt;&gt;"",COUNTIF('Do not contact'!$A$6:$A$505,G230)&gt;0)),1,0)</f>
        <v>0</v>
      </c>
    </row>
    <row r="231" customFormat="false" ht="27.75" hidden="false" customHeight="true" outlineLevel="0" collapsed="false">
      <c r="A231" s="38"/>
      <c r="B231" s="39"/>
      <c r="C231" s="38"/>
      <c r="D231" s="38"/>
      <c r="E231" s="38"/>
      <c r="F231" s="38"/>
      <c r="G231" s="38"/>
      <c r="H231" s="40"/>
      <c r="I231" s="38"/>
      <c r="J231" s="38"/>
      <c r="K231" s="38"/>
      <c r="L231" s="41"/>
      <c r="M231" s="42" t="str">
        <f aca="false">IF(C231="","",IF(W231=1,"NO – opted out. Do not email.",IF(I231="","Pick a contact type",IF(LEFT(I231,4)="Sole",IF(OR(LEFT(J231,7)="Consent",LEFT(J231,4)="Soft"),"Yes – add opt-out + privacy link",IF(LEFT(J231,8)="Contract","Reply about their enquiry only","NO – needs consent first (PECR)")),"Yes – add opt-out + privacy link"))))</f>
        <v/>
      </c>
      <c r="N231" s="38"/>
      <c r="O231" s="39"/>
      <c r="P231" s="38"/>
      <c r="Q231" s="39"/>
      <c r="R231" s="43" t="str">
        <f aca="false">IF(C231="","",IF(Q231&lt;&gt;"",Q231,IF(OR(W231=1,N231="Won",N231="Lost",N231="Parked"),"",IF(O231&lt;&gt;"",O231+Lists!$N$2,IF(B231&lt;&gt;"",B231+Lists!$N$2,"")))))</f>
        <v/>
      </c>
      <c r="S231" s="42" t="str">
        <f aca="true">IF(C231="","",IF(W231=1,"Grey – do not email",IF(N231="Won","Won",IF(OR(N231="Lost",N231="Parked"),"Closed",IF(R231="","Amber – add next action",IF(R231&lt;TODAY(),"Red – overdue",IF(R231=TODAY(),"Red – due today",IF(R231-TODAY()&lt;=Lists!$N$3,"Amber – due soon","Green – on track"))))))))</f>
        <v/>
      </c>
      <c r="T231" s="44"/>
      <c r="U231" s="38"/>
      <c r="V231" s="42" t="str">
        <f aca="true">IF(OR(C231="",W231=1,N231="Won",N231="Lost"),"",IF(ISNUMBER(R231),IF(R231&lt;=TODAY(),R231+ROW()/100000,""),""))</f>
        <v/>
      </c>
      <c r="W231" s="42" t="n">
        <f aca="false">IF(OR(L231="Y",AND(G231&lt;&gt;"",COUNTIF('Do not contact'!$A$6:$A$505,G231)&gt;0)),1,0)</f>
        <v>0</v>
      </c>
    </row>
    <row r="232" customFormat="false" ht="27.75" hidden="false" customHeight="true" outlineLevel="0" collapsed="false">
      <c r="A232" s="38"/>
      <c r="B232" s="39"/>
      <c r="C232" s="38"/>
      <c r="D232" s="38"/>
      <c r="E232" s="38"/>
      <c r="F232" s="38"/>
      <c r="G232" s="38"/>
      <c r="H232" s="40"/>
      <c r="I232" s="38"/>
      <c r="J232" s="38"/>
      <c r="K232" s="38"/>
      <c r="L232" s="41"/>
      <c r="M232" s="42" t="str">
        <f aca="false">IF(C232="","",IF(W232=1,"NO – opted out. Do not email.",IF(I232="","Pick a contact type",IF(LEFT(I232,4)="Sole",IF(OR(LEFT(J232,7)="Consent",LEFT(J232,4)="Soft"),"Yes – add opt-out + privacy link",IF(LEFT(J232,8)="Contract","Reply about their enquiry only","NO – needs consent first (PECR)")),"Yes – add opt-out + privacy link"))))</f>
        <v/>
      </c>
      <c r="N232" s="38"/>
      <c r="O232" s="39"/>
      <c r="P232" s="38"/>
      <c r="Q232" s="39"/>
      <c r="R232" s="43" t="str">
        <f aca="false">IF(C232="","",IF(Q232&lt;&gt;"",Q232,IF(OR(W232=1,N232="Won",N232="Lost",N232="Parked"),"",IF(O232&lt;&gt;"",O232+Lists!$N$2,IF(B232&lt;&gt;"",B232+Lists!$N$2,"")))))</f>
        <v/>
      </c>
      <c r="S232" s="42" t="str">
        <f aca="true">IF(C232="","",IF(W232=1,"Grey – do not email",IF(N232="Won","Won",IF(OR(N232="Lost",N232="Parked"),"Closed",IF(R232="","Amber – add next action",IF(R232&lt;TODAY(),"Red – overdue",IF(R232=TODAY(),"Red – due today",IF(R232-TODAY()&lt;=Lists!$N$3,"Amber – due soon","Green – on track"))))))))</f>
        <v/>
      </c>
      <c r="T232" s="44"/>
      <c r="U232" s="38"/>
      <c r="V232" s="42" t="str">
        <f aca="true">IF(OR(C232="",W232=1,N232="Won",N232="Lost"),"",IF(ISNUMBER(R232),IF(R232&lt;=TODAY(),R232+ROW()/100000,""),""))</f>
        <v/>
      </c>
      <c r="W232" s="42" t="n">
        <f aca="false">IF(OR(L232="Y",AND(G232&lt;&gt;"",COUNTIF('Do not contact'!$A$6:$A$505,G232)&gt;0)),1,0)</f>
        <v>0</v>
      </c>
    </row>
    <row r="233" customFormat="false" ht="27.75" hidden="false" customHeight="true" outlineLevel="0" collapsed="false">
      <c r="A233" s="38"/>
      <c r="B233" s="39"/>
      <c r="C233" s="38"/>
      <c r="D233" s="38"/>
      <c r="E233" s="38"/>
      <c r="F233" s="38"/>
      <c r="G233" s="38"/>
      <c r="H233" s="40"/>
      <c r="I233" s="38"/>
      <c r="J233" s="38"/>
      <c r="K233" s="38"/>
      <c r="L233" s="41"/>
      <c r="M233" s="42" t="str">
        <f aca="false">IF(C233="","",IF(W233=1,"NO – opted out. Do not email.",IF(I233="","Pick a contact type",IF(LEFT(I233,4)="Sole",IF(OR(LEFT(J233,7)="Consent",LEFT(J233,4)="Soft"),"Yes – add opt-out + privacy link",IF(LEFT(J233,8)="Contract","Reply about their enquiry only","NO – needs consent first (PECR)")),"Yes – add opt-out + privacy link"))))</f>
        <v/>
      </c>
      <c r="N233" s="38"/>
      <c r="O233" s="39"/>
      <c r="P233" s="38"/>
      <c r="Q233" s="39"/>
      <c r="R233" s="43" t="str">
        <f aca="false">IF(C233="","",IF(Q233&lt;&gt;"",Q233,IF(OR(W233=1,N233="Won",N233="Lost",N233="Parked"),"",IF(O233&lt;&gt;"",O233+Lists!$N$2,IF(B233&lt;&gt;"",B233+Lists!$N$2,"")))))</f>
        <v/>
      </c>
      <c r="S233" s="42" t="str">
        <f aca="true">IF(C233="","",IF(W233=1,"Grey – do not email",IF(N233="Won","Won",IF(OR(N233="Lost",N233="Parked"),"Closed",IF(R233="","Amber – add next action",IF(R233&lt;TODAY(),"Red – overdue",IF(R233=TODAY(),"Red – due today",IF(R233-TODAY()&lt;=Lists!$N$3,"Amber – due soon","Green – on track"))))))))</f>
        <v/>
      </c>
      <c r="T233" s="44"/>
      <c r="U233" s="38"/>
      <c r="V233" s="42" t="str">
        <f aca="true">IF(OR(C233="",W233=1,N233="Won",N233="Lost"),"",IF(ISNUMBER(R233),IF(R233&lt;=TODAY(),R233+ROW()/100000,""),""))</f>
        <v/>
      </c>
      <c r="W233" s="42" t="n">
        <f aca="false">IF(OR(L233="Y",AND(G233&lt;&gt;"",COUNTIF('Do not contact'!$A$6:$A$505,G233)&gt;0)),1,0)</f>
        <v>0</v>
      </c>
    </row>
    <row r="234" customFormat="false" ht="27.75" hidden="false" customHeight="true" outlineLevel="0" collapsed="false">
      <c r="A234" s="38"/>
      <c r="B234" s="39"/>
      <c r="C234" s="38"/>
      <c r="D234" s="38"/>
      <c r="E234" s="38"/>
      <c r="F234" s="38"/>
      <c r="G234" s="38"/>
      <c r="H234" s="40"/>
      <c r="I234" s="38"/>
      <c r="J234" s="38"/>
      <c r="K234" s="38"/>
      <c r="L234" s="41"/>
      <c r="M234" s="42" t="str">
        <f aca="false">IF(C234="","",IF(W234=1,"NO – opted out. Do not email.",IF(I234="","Pick a contact type",IF(LEFT(I234,4)="Sole",IF(OR(LEFT(J234,7)="Consent",LEFT(J234,4)="Soft"),"Yes – add opt-out + privacy link",IF(LEFT(J234,8)="Contract","Reply about their enquiry only","NO – needs consent first (PECR)")),"Yes – add opt-out + privacy link"))))</f>
        <v/>
      </c>
      <c r="N234" s="38"/>
      <c r="O234" s="39"/>
      <c r="P234" s="38"/>
      <c r="Q234" s="39"/>
      <c r="R234" s="43" t="str">
        <f aca="false">IF(C234="","",IF(Q234&lt;&gt;"",Q234,IF(OR(W234=1,N234="Won",N234="Lost",N234="Parked"),"",IF(O234&lt;&gt;"",O234+Lists!$N$2,IF(B234&lt;&gt;"",B234+Lists!$N$2,"")))))</f>
        <v/>
      </c>
      <c r="S234" s="42" t="str">
        <f aca="true">IF(C234="","",IF(W234=1,"Grey – do not email",IF(N234="Won","Won",IF(OR(N234="Lost",N234="Parked"),"Closed",IF(R234="","Amber – add next action",IF(R234&lt;TODAY(),"Red – overdue",IF(R234=TODAY(),"Red – due today",IF(R234-TODAY()&lt;=Lists!$N$3,"Amber – due soon","Green – on track"))))))))</f>
        <v/>
      </c>
      <c r="T234" s="44"/>
      <c r="U234" s="38"/>
      <c r="V234" s="42" t="str">
        <f aca="true">IF(OR(C234="",W234=1,N234="Won",N234="Lost"),"",IF(ISNUMBER(R234),IF(R234&lt;=TODAY(),R234+ROW()/100000,""),""))</f>
        <v/>
      </c>
      <c r="W234" s="42" t="n">
        <f aca="false">IF(OR(L234="Y",AND(G234&lt;&gt;"",COUNTIF('Do not contact'!$A$6:$A$505,G234)&gt;0)),1,0)</f>
        <v>0</v>
      </c>
    </row>
    <row r="235" customFormat="false" ht="27.75" hidden="false" customHeight="true" outlineLevel="0" collapsed="false">
      <c r="A235" s="38"/>
      <c r="B235" s="39"/>
      <c r="C235" s="38"/>
      <c r="D235" s="38"/>
      <c r="E235" s="38"/>
      <c r="F235" s="38"/>
      <c r="G235" s="38"/>
      <c r="H235" s="40"/>
      <c r="I235" s="38"/>
      <c r="J235" s="38"/>
      <c r="K235" s="38"/>
      <c r="L235" s="41"/>
      <c r="M235" s="42" t="str">
        <f aca="false">IF(C235="","",IF(W235=1,"NO – opted out. Do not email.",IF(I235="","Pick a contact type",IF(LEFT(I235,4)="Sole",IF(OR(LEFT(J235,7)="Consent",LEFT(J235,4)="Soft"),"Yes – add opt-out + privacy link",IF(LEFT(J235,8)="Contract","Reply about their enquiry only","NO – needs consent first (PECR)")),"Yes – add opt-out + privacy link"))))</f>
        <v/>
      </c>
      <c r="N235" s="38"/>
      <c r="O235" s="39"/>
      <c r="P235" s="38"/>
      <c r="Q235" s="39"/>
      <c r="R235" s="43" t="str">
        <f aca="false">IF(C235="","",IF(Q235&lt;&gt;"",Q235,IF(OR(W235=1,N235="Won",N235="Lost",N235="Parked"),"",IF(O235&lt;&gt;"",O235+Lists!$N$2,IF(B235&lt;&gt;"",B235+Lists!$N$2,"")))))</f>
        <v/>
      </c>
      <c r="S235" s="42" t="str">
        <f aca="true">IF(C235="","",IF(W235=1,"Grey – do not email",IF(N235="Won","Won",IF(OR(N235="Lost",N235="Parked"),"Closed",IF(R235="","Amber – add next action",IF(R235&lt;TODAY(),"Red – overdue",IF(R235=TODAY(),"Red – due today",IF(R235-TODAY()&lt;=Lists!$N$3,"Amber – due soon","Green – on track"))))))))</f>
        <v/>
      </c>
      <c r="T235" s="44"/>
      <c r="U235" s="38"/>
      <c r="V235" s="42" t="str">
        <f aca="true">IF(OR(C235="",W235=1,N235="Won",N235="Lost"),"",IF(ISNUMBER(R235),IF(R235&lt;=TODAY(),R235+ROW()/100000,""),""))</f>
        <v/>
      </c>
      <c r="W235" s="42" t="n">
        <f aca="false">IF(OR(L235="Y",AND(G235&lt;&gt;"",COUNTIF('Do not contact'!$A$6:$A$505,G235)&gt;0)),1,0)</f>
        <v>0</v>
      </c>
    </row>
    <row r="236" customFormat="false" ht="27.75" hidden="false" customHeight="true" outlineLevel="0" collapsed="false">
      <c r="A236" s="38"/>
      <c r="B236" s="39"/>
      <c r="C236" s="38"/>
      <c r="D236" s="38"/>
      <c r="E236" s="38"/>
      <c r="F236" s="38"/>
      <c r="G236" s="38"/>
      <c r="H236" s="40"/>
      <c r="I236" s="38"/>
      <c r="J236" s="38"/>
      <c r="K236" s="38"/>
      <c r="L236" s="41"/>
      <c r="M236" s="42" t="str">
        <f aca="false">IF(C236="","",IF(W236=1,"NO – opted out. Do not email.",IF(I236="","Pick a contact type",IF(LEFT(I236,4)="Sole",IF(OR(LEFT(J236,7)="Consent",LEFT(J236,4)="Soft"),"Yes – add opt-out + privacy link",IF(LEFT(J236,8)="Contract","Reply about their enquiry only","NO – needs consent first (PECR)")),"Yes – add opt-out + privacy link"))))</f>
        <v/>
      </c>
      <c r="N236" s="38"/>
      <c r="O236" s="39"/>
      <c r="P236" s="38"/>
      <c r="Q236" s="39"/>
      <c r="R236" s="43" t="str">
        <f aca="false">IF(C236="","",IF(Q236&lt;&gt;"",Q236,IF(OR(W236=1,N236="Won",N236="Lost",N236="Parked"),"",IF(O236&lt;&gt;"",O236+Lists!$N$2,IF(B236&lt;&gt;"",B236+Lists!$N$2,"")))))</f>
        <v/>
      </c>
      <c r="S236" s="42" t="str">
        <f aca="true">IF(C236="","",IF(W236=1,"Grey – do not email",IF(N236="Won","Won",IF(OR(N236="Lost",N236="Parked"),"Closed",IF(R236="","Amber – add next action",IF(R236&lt;TODAY(),"Red – overdue",IF(R236=TODAY(),"Red – due today",IF(R236-TODAY()&lt;=Lists!$N$3,"Amber – due soon","Green – on track"))))))))</f>
        <v/>
      </c>
      <c r="T236" s="44"/>
      <c r="U236" s="38"/>
      <c r="V236" s="42" t="str">
        <f aca="true">IF(OR(C236="",W236=1,N236="Won",N236="Lost"),"",IF(ISNUMBER(R236),IF(R236&lt;=TODAY(),R236+ROW()/100000,""),""))</f>
        <v/>
      </c>
      <c r="W236" s="42" t="n">
        <f aca="false">IF(OR(L236="Y",AND(G236&lt;&gt;"",COUNTIF('Do not contact'!$A$6:$A$505,G236)&gt;0)),1,0)</f>
        <v>0</v>
      </c>
    </row>
    <row r="237" customFormat="false" ht="27.75" hidden="false" customHeight="true" outlineLevel="0" collapsed="false">
      <c r="A237" s="38"/>
      <c r="B237" s="39"/>
      <c r="C237" s="38"/>
      <c r="D237" s="38"/>
      <c r="E237" s="38"/>
      <c r="F237" s="38"/>
      <c r="G237" s="38"/>
      <c r="H237" s="40"/>
      <c r="I237" s="38"/>
      <c r="J237" s="38"/>
      <c r="K237" s="38"/>
      <c r="L237" s="41"/>
      <c r="M237" s="42" t="str">
        <f aca="false">IF(C237="","",IF(W237=1,"NO – opted out. Do not email.",IF(I237="","Pick a contact type",IF(LEFT(I237,4)="Sole",IF(OR(LEFT(J237,7)="Consent",LEFT(J237,4)="Soft"),"Yes – add opt-out + privacy link",IF(LEFT(J237,8)="Contract","Reply about their enquiry only","NO – needs consent first (PECR)")),"Yes – add opt-out + privacy link"))))</f>
        <v/>
      </c>
      <c r="N237" s="38"/>
      <c r="O237" s="39"/>
      <c r="P237" s="38"/>
      <c r="Q237" s="39"/>
      <c r="R237" s="43" t="str">
        <f aca="false">IF(C237="","",IF(Q237&lt;&gt;"",Q237,IF(OR(W237=1,N237="Won",N237="Lost",N237="Parked"),"",IF(O237&lt;&gt;"",O237+Lists!$N$2,IF(B237&lt;&gt;"",B237+Lists!$N$2,"")))))</f>
        <v/>
      </c>
      <c r="S237" s="42" t="str">
        <f aca="true">IF(C237="","",IF(W237=1,"Grey – do not email",IF(N237="Won","Won",IF(OR(N237="Lost",N237="Parked"),"Closed",IF(R237="","Amber – add next action",IF(R237&lt;TODAY(),"Red – overdue",IF(R237=TODAY(),"Red – due today",IF(R237-TODAY()&lt;=Lists!$N$3,"Amber – due soon","Green – on track"))))))))</f>
        <v/>
      </c>
      <c r="T237" s="44"/>
      <c r="U237" s="38"/>
      <c r="V237" s="42" t="str">
        <f aca="true">IF(OR(C237="",W237=1,N237="Won",N237="Lost"),"",IF(ISNUMBER(R237),IF(R237&lt;=TODAY(),R237+ROW()/100000,""),""))</f>
        <v/>
      </c>
      <c r="W237" s="42" t="n">
        <f aca="false">IF(OR(L237="Y",AND(G237&lt;&gt;"",COUNTIF('Do not contact'!$A$6:$A$505,G237)&gt;0)),1,0)</f>
        <v>0</v>
      </c>
    </row>
    <row r="238" customFormat="false" ht="27.75" hidden="false" customHeight="true" outlineLevel="0" collapsed="false">
      <c r="A238" s="38"/>
      <c r="B238" s="39"/>
      <c r="C238" s="38"/>
      <c r="D238" s="38"/>
      <c r="E238" s="38"/>
      <c r="F238" s="38"/>
      <c r="G238" s="38"/>
      <c r="H238" s="40"/>
      <c r="I238" s="38"/>
      <c r="J238" s="38"/>
      <c r="K238" s="38"/>
      <c r="L238" s="41"/>
      <c r="M238" s="42" t="str">
        <f aca="false">IF(C238="","",IF(W238=1,"NO – opted out. Do not email.",IF(I238="","Pick a contact type",IF(LEFT(I238,4)="Sole",IF(OR(LEFT(J238,7)="Consent",LEFT(J238,4)="Soft"),"Yes – add opt-out + privacy link",IF(LEFT(J238,8)="Contract","Reply about their enquiry only","NO – needs consent first (PECR)")),"Yes – add opt-out + privacy link"))))</f>
        <v/>
      </c>
      <c r="N238" s="38"/>
      <c r="O238" s="39"/>
      <c r="P238" s="38"/>
      <c r="Q238" s="39"/>
      <c r="R238" s="43" t="str">
        <f aca="false">IF(C238="","",IF(Q238&lt;&gt;"",Q238,IF(OR(W238=1,N238="Won",N238="Lost",N238="Parked"),"",IF(O238&lt;&gt;"",O238+Lists!$N$2,IF(B238&lt;&gt;"",B238+Lists!$N$2,"")))))</f>
        <v/>
      </c>
      <c r="S238" s="42" t="str">
        <f aca="true">IF(C238="","",IF(W238=1,"Grey – do not email",IF(N238="Won","Won",IF(OR(N238="Lost",N238="Parked"),"Closed",IF(R238="","Amber – add next action",IF(R238&lt;TODAY(),"Red – overdue",IF(R238=TODAY(),"Red – due today",IF(R238-TODAY()&lt;=Lists!$N$3,"Amber – due soon","Green – on track"))))))))</f>
        <v/>
      </c>
      <c r="T238" s="44"/>
      <c r="U238" s="38"/>
      <c r="V238" s="42" t="str">
        <f aca="true">IF(OR(C238="",W238=1,N238="Won",N238="Lost"),"",IF(ISNUMBER(R238),IF(R238&lt;=TODAY(),R238+ROW()/100000,""),""))</f>
        <v/>
      </c>
      <c r="W238" s="42" t="n">
        <f aca="false">IF(OR(L238="Y",AND(G238&lt;&gt;"",COUNTIF('Do not contact'!$A$6:$A$505,G238)&gt;0)),1,0)</f>
        <v>0</v>
      </c>
    </row>
    <row r="239" customFormat="false" ht="27.75" hidden="false" customHeight="true" outlineLevel="0" collapsed="false">
      <c r="A239" s="38"/>
      <c r="B239" s="39"/>
      <c r="C239" s="38"/>
      <c r="D239" s="38"/>
      <c r="E239" s="38"/>
      <c r="F239" s="38"/>
      <c r="G239" s="38"/>
      <c r="H239" s="40"/>
      <c r="I239" s="38"/>
      <c r="J239" s="38"/>
      <c r="K239" s="38"/>
      <c r="L239" s="41"/>
      <c r="M239" s="42" t="str">
        <f aca="false">IF(C239="","",IF(W239=1,"NO – opted out. Do not email.",IF(I239="","Pick a contact type",IF(LEFT(I239,4)="Sole",IF(OR(LEFT(J239,7)="Consent",LEFT(J239,4)="Soft"),"Yes – add opt-out + privacy link",IF(LEFT(J239,8)="Contract","Reply about their enquiry only","NO – needs consent first (PECR)")),"Yes – add opt-out + privacy link"))))</f>
        <v/>
      </c>
      <c r="N239" s="38"/>
      <c r="O239" s="39"/>
      <c r="P239" s="38"/>
      <c r="Q239" s="39"/>
      <c r="R239" s="43" t="str">
        <f aca="false">IF(C239="","",IF(Q239&lt;&gt;"",Q239,IF(OR(W239=1,N239="Won",N239="Lost",N239="Parked"),"",IF(O239&lt;&gt;"",O239+Lists!$N$2,IF(B239&lt;&gt;"",B239+Lists!$N$2,"")))))</f>
        <v/>
      </c>
      <c r="S239" s="42" t="str">
        <f aca="true">IF(C239="","",IF(W239=1,"Grey – do not email",IF(N239="Won","Won",IF(OR(N239="Lost",N239="Parked"),"Closed",IF(R239="","Amber – add next action",IF(R239&lt;TODAY(),"Red – overdue",IF(R239=TODAY(),"Red – due today",IF(R239-TODAY()&lt;=Lists!$N$3,"Amber – due soon","Green – on track"))))))))</f>
        <v/>
      </c>
      <c r="T239" s="44"/>
      <c r="U239" s="38"/>
      <c r="V239" s="42" t="str">
        <f aca="true">IF(OR(C239="",W239=1,N239="Won",N239="Lost"),"",IF(ISNUMBER(R239),IF(R239&lt;=TODAY(),R239+ROW()/100000,""),""))</f>
        <v/>
      </c>
      <c r="W239" s="42" t="n">
        <f aca="false">IF(OR(L239="Y",AND(G239&lt;&gt;"",COUNTIF('Do not contact'!$A$6:$A$505,G239)&gt;0)),1,0)</f>
        <v>0</v>
      </c>
    </row>
    <row r="240" customFormat="false" ht="27.75" hidden="false" customHeight="true" outlineLevel="0" collapsed="false">
      <c r="A240" s="38"/>
      <c r="B240" s="39"/>
      <c r="C240" s="38"/>
      <c r="D240" s="38"/>
      <c r="E240" s="38"/>
      <c r="F240" s="38"/>
      <c r="G240" s="38"/>
      <c r="H240" s="40"/>
      <c r="I240" s="38"/>
      <c r="J240" s="38"/>
      <c r="K240" s="38"/>
      <c r="L240" s="41"/>
      <c r="M240" s="42" t="str">
        <f aca="false">IF(C240="","",IF(W240=1,"NO – opted out. Do not email.",IF(I240="","Pick a contact type",IF(LEFT(I240,4)="Sole",IF(OR(LEFT(J240,7)="Consent",LEFT(J240,4)="Soft"),"Yes – add opt-out + privacy link",IF(LEFT(J240,8)="Contract","Reply about their enquiry only","NO – needs consent first (PECR)")),"Yes – add opt-out + privacy link"))))</f>
        <v/>
      </c>
      <c r="N240" s="38"/>
      <c r="O240" s="39"/>
      <c r="P240" s="38"/>
      <c r="Q240" s="39"/>
      <c r="R240" s="43" t="str">
        <f aca="false">IF(C240="","",IF(Q240&lt;&gt;"",Q240,IF(OR(W240=1,N240="Won",N240="Lost",N240="Parked"),"",IF(O240&lt;&gt;"",O240+Lists!$N$2,IF(B240&lt;&gt;"",B240+Lists!$N$2,"")))))</f>
        <v/>
      </c>
      <c r="S240" s="42" t="str">
        <f aca="true">IF(C240="","",IF(W240=1,"Grey – do not email",IF(N240="Won","Won",IF(OR(N240="Lost",N240="Parked"),"Closed",IF(R240="","Amber – add next action",IF(R240&lt;TODAY(),"Red – overdue",IF(R240=TODAY(),"Red – due today",IF(R240-TODAY()&lt;=Lists!$N$3,"Amber – due soon","Green – on track"))))))))</f>
        <v/>
      </c>
      <c r="T240" s="44"/>
      <c r="U240" s="38"/>
      <c r="V240" s="42" t="str">
        <f aca="true">IF(OR(C240="",W240=1,N240="Won",N240="Lost"),"",IF(ISNUMBER(R240),IF(R240&lt;=TODAY(),R240+ROW()/100000,""),""))</f>
        <v/>
      </c>
      <c r="W240" s="42" t="n">
        <f aca="false">IF(OR(L240="Y",AND(G240&lt;&gt;"",COUNTIF('Do not contact'!$A$6:$A$505,G240)&gt;0)),1,0)</f>
        <v>0</v>
      </c>
    </row>
    <row r="241" customFormat="false" ht="27.75" hidden="false" customHeight="true" outlineLevel="0" collapsed="false">
      <c r="A241" s="38"/>
      <c r="B241" s="39"/>
      <c r="C241" s="38"/>
      <c r="D241" s="38"/>
      <c r="E241" s="38"/>
      <c r="F241" s="38"/>
      <c r="G241" s="38"/>
      <c r="H241" s="40"/>
      <c r="I241" s="38"/>
      <c r="J241" s="38"/>
      <c r="K241" s="38"/>
      <c r="L241" s="41"/>
      <c r="M241" s="42" t="str">
        <f aca="false">IF(C241="","",IF(W241=1,"NO – opted out. Do not email.",IF(I241="","Pick a contact type",IF(LEFT(I241,4)="Sole",IF(OR(LEFT(J241,7)="Consent",LEFT(J241,4)="Soft"),"Yes – add opt-out + privacy link",IF(LEFT(J241,8)="Contract","Reply about their enquiry only","NO – needs consent first (PECR)")),"Yes – add opt-out + privacy link"))))</f>
        <v/>
      </c>
      <c r="N241" s="38"/>
      <c r="O241" s="39"/>
      <c r="P241" s="38"/>
      <c r="Q241" s="39"/>
      <c r="R241" s="43" t="str">
        <f aca="false">IF(C241="","",IF(Q241&lt;&gt;"",Q241,IF(OR(W241=1,N241="Won",N241="Lost",N241="Parked"),"",IF(O241&lt;&gt;"",O241+Lists!$N$2,IF(B241&lt;&gt;"",B241+Lists!$N$2,"")))))</f>
        <v/>
      </c>
      <c r="S241" s="42" t="str">
        <f aca="true">IF(C241="","",IF(W241=1,"Grey – do not email",IF(N241="Won","Won",IF(OR(N241="Lost",N241="Parked"),"Closed",IF(R241="","Amber – add next action",IF(R241&lt;TODAY(),"Red – overdue",IF(R241=TODAY(),"Red – due today",IF(R241-TODAY()&lt;=Lists!$N$3,"Amber – due soon","Green – on track"))))))))</f>
        <v/>
      </c>
      <c r="T241" s="44"/>
      <c r="U241" s="38"/>
      <c r="V241" s="42" t="str">
        <f aca="true">IF(OR(C241="",W241=1,N241="Won",N241="Lost"),"",IF(ISNUMBER(R241),IF(R241&lt;=TODAY(),R241+ROW()/100000,""),""))</f>
        <v/>
      </c>
      <c r="W241" s="42" t="n">
        <f aca="false">IF(OR(L241="Y",AND(G241&lt;&gt;"",COUNTIF('Do not contact'!$A$6:$A$505,G241)&gt;0)),1,0)</f>
        <v>0</v>
      </c>
    </row>
    <row r="242" customFormat="false" ht="27.75" hidden="false" customHeight="true" outlineLevel="0" collapsed="false">
      <c r="A242" s="38"/>
      <c r="B242" s="39"/>
      <c r="C242" s="38"/>
      <c r="D242" s="38"/>
      <c r="E242" s="38"/>
      <c r="F242" s="38"/>
      <c r="G242" s="38"/>
      <c r="H242" s="40"/>
      <c r="I242" s="38"/>
      <c r="J242" s="38"/>
      <c r="K242" s="38"/>
      <c r="L242" s="41"/>
      <c r="M242" s="42" t="str">
        <f aca="false">IF(C242="","",IF(W242=1,"NO – opted out. Do not email.",IF(I242="","Pick a contact type",IF(LEFT(I242,4)="Sole",IF(OR(LEFT(J242,7)="Consent",LEFT(J242,4)="Soft"),"Yes – add opt-out + privacy link",IF(LEFT(J242,8)="Contract","Reply about their enquiry only","NO – needs consent first (PECR)")),"Yes – add opt-out + privacy link"))))</f>
        <v/>
      </c>
      <c r="N242" s="38"/>
      <c r="O242" s="39"/>
      <c r="P242" s="38"/>
      <c r="Q242" s="39"/>
      <c r="R242" s="43" t="str">
        <f aca="false">IF(C242="","",IF(Q242&lt;&gt;"",Q242,IF(OR(W242=1,N242="Won",N242="Lost",N242="Parked"),"",IF(O242&lt;&gt;"",O242+Lists!$N$2,IF(B242&lt;&gt;"",B242+Lists!$N$2,"")))))</f>
        <v/>
      </c>
      <c r="S242" s="42" t="str">
        <f aca="true">IF(C242="","",IF(W242=1,"Grey – do not email",IF(N242="Won","Won",IF(OR(N242="Lost",N242="Parked"),"Closed",IF(R242="","Amber – add next action",IF(R242&lt;TODAY(),"Red – overdue",IF(R242=TODAY(),"Red – due today",IF(R242-TODAY()&lt;=Lists!$N$3,"Amber – due soon","Green – on track"))))))))</f>
        <v/>
      </c>
      <c r="T242" s="44"/>
      <c r="U242" s="38"/>
      <c r="V242" s="42" t="str">
        <f aca="true">IF(OR(C242="",W242=1,N242="Won",N242="Lost"),"",IF(ISNUMBER(R242),IF(R242&lt;=TODAY(),R242+ROW()/100000,""),""))</f>
        <v/>
      </c>
      <c r="W242" s="42" t="n">
        <f aca="false">IF(OR(L242="Y",AND(G242&lt;&gt;"",COUNTIF('Do not contact'!$A$6:$A$505,G242)&gt;0)),1,0)</f>
        <v>0</v>
      </c>
    </row>
    <row r="243" customFormat="false" ht="27.75" hidden="false" customHeight="true" outlineLevel="0" collapsed="false">
      <c r="A243" s="38"/>
      <c r="B243" s="39"/>
      <c r="C243" s="38"/>
      <c r="D243" s="38"/>
      <c r="E243" s="38"/>
      <c r="F243" s="38"/>
      <c r="G243" s="38"/>
      <c r="H243" s="40"/>
      <c r="I243" s="38"/>
      <c r="J243" s="38"/>
      <c r="K243" s="38"/>
      <c r="L243" s="41"/>
      <c r="M243" s="42" t="str">
        <f aca="false">IF(C243="","",IF(W243=1,"NO – opted out. Do not email.",IF(I243="","Pick a contact type",IF(LEFT(I243,4)="Sole",IF(OR(LEFT(J243,7)="Consent",LEFT(J243,4)="Soft"),"Yes – add opt-out + privacy link",IF(LEFT(J243,8)="Contract","Reply about their enquiry only","NO – needs consent first (PECR)")),"Yes – add opt-out + privacy link"))))</f>
        <v/>
      </c>
      <c r="N243" s="38"/>
      <c r="O243" s="39"/>
      <c r="P243" s="38"/>
      <c r="Q243" s="39"/>
      <c r="R243" s="43" t="str">
        <f aca="false">IF(C243="","",IF(Q243&lt;&gt;"",Q243,IF(OR(W243=1,N243="Won",N243="Lost",N243="Parked"),"",IF(O243&lt;&gt;"",O243+Lists!$N$2,IF(B243&lt;&gt;"",B243+Lists!$N$2,"")))))</f>
        <v/>
      </c>
      <c r="S243" s="42" t="str">
        <f aca="true">IF(C243="","",IF(W243=1,"Grey – do not email",IF(N243="Won","Won",IF(OR(N243="Lost",N243="Parked"),"Closed",IF(R243="","Amber – add next action",IF(R243&lt;TODAY(),"Red – overdue",IF(R243=TODAY(),"Red – due today",IF(R243-TODAY()&lt;=Lists!$N$3,"Amber – due soon","Green – on track"))))))))</f>
        <v/>
      </c>
      <c r="T243" s="44"/>
      <c r="U243" s="38"/>
      <c r="V243" s="42" t="str">
        <f aca="true">IF(OR(C243="",W243=1,N243="Won",N243="Lost"),"",IF(ISNUMBER(R243),IF(R243&lt;=TODAY(),R243+ROW()/100000,""),""))</f>
        <v/>
      </c>
      <c r="W243" s="42" t="n">
        <f aca="false">IF(OR(L243="Y",AND(G243&lt;&gt;"",COUNTIF('Do not contact'!$A$6:$A$505,G243)&gt;0)),1,0)</f>
        <v>0</v>
      </c>
    </row>
    <row r="244" customFormat="false" ht="27.75" hidden="false" customHeight="true" outlineLevel="0" collapsed="false">
      <c r="A244" s="38"/>
      <c r="B244" s="39"/>
      <c r="C244" s="38"/>
      <c r="D244" s="38"/>
      <c r="E244" s="38"/>
      <c r="F244" s="38"/>
      <c r="G244" s="38"/>
      <c r="H244" s="40"/>
      <c r="I244" s="38"/>
      <c r="J244" s="38"/>
      <c r="K244" s="38"/>
      <c r="L244" s="41"/>
      <c r="M244" s="42" t="str">
        <f aca="false">IF(C244="","",IF(W244=1,"NO – opted out. Do not email.",IF(I244="","Pick a contact type",IF(LEFT(I244,4)="Sole",IF(OR(LEFT(J244,7)="Consent",LEFT(J244,4)="Soft"),"Yes – add opt-out + privacy link",IF(LEFT(J244,8)="Contract","Reply about their enquiry only","NO – needs consent first (PECR)")),"Yes – add opt-out + privacy link"))))</f>
        <v/>
      </c>
      <c r="N244" s="38"/>
      <c r="O244" s="39"/>
      <c r="P244" s="38"/>
      <c r="Q244" s="39"/>
      <c r="R244" s="43" t="str">
        <f aca="false">IF(C244="","",IF(Q244&lt;&gt;"",Q244,IF(OR(W244=1,N244="Won",N244="Lost",N244="Parked"),"",IF(O244&lt;&gt;"",O244+Lists!$N$2,IF(B244&lt;&gt;"",B244+Lists!$N$2,"")))))</f>
        <v/>
      </c>
      <c r="S244" s="42" t="str">
        <f aca="true">IF(C244="","",IF(W244=1,"Grey – do not email",IF(N244="Won","Won",IF(OR(N244="Lost",N244="Parked"),"Closed",IF(R244="","Amber – add next action",IF(R244&lt;TODAY(),"Red – overdue",IF(R244=TODAY(),"Red – due today",IF(R244-TODAY()&lt;=Lists!$N$3,"Amber – due soon","Green – on track"))))))))</f>
        <v/>
      </c>
      <c r="T244" s="44"/>
      <c r="U244" s="38"/>
      <c r="V244" s="42" t="str">
        <f aca="true">IF(OR(C244="",W244=1,N244="Won",N244="Lost"),"",IF(ISNUMBER(R244),IF(R244&lt;=TODAY(),R244+ROW()/100000,""),""))</f>
        <v/>
      </c>
      <c r="W244" s="42" t="n">
        <f aca="false">IF(OR(L244="Y",AND(G244&lt;&gt;"",COUNTIF('Do not contact'!$A$6:$A$505,G244)&gt;0)),1,0)</f>
        <v>0</v>
      </c>
    </row>
    <row r="245" customFormat="false" ht="27.75" hidden="false" customHeight="true" outlineLevel="0" collapsed="false">
      <c r="A245" s="38"/>
      <c r="B245" s="39"/>
      <c r="C245" s="38"/>
      <c r="D245" s="38"/>
      <c r="E245" s="38"/>
      <c r="F245" s="38"/>
      <c r="G245" s="38"/>
      <c r="H245" s="40"/>
      <c r="I245" s="38"/>
      <c r="J245" s="38"/>
      <c r="K245" s="38"/>
      <c r="L245" s="41"/>
      <c r="M245" s="42" t="str">
        <f aca="false">IF(C245="","",IF(W245=1,"NO – opted out. Do not email.",IF(I245="","Pick a contact type",IF(LEFT(I245,4)="Sole",IF(OR(LEFT(J245,7)="Consent",LEFT(J245,4)="Soft"),"Yes – add opt-out + privacy link",IF(LEFT(J245,8)="Contract","Reply about their enquiry only","NO – needs consent first (PECR)")),"Yes – add opt-out + privacy link"))))</f>
        <v/>
      </c>
      <c r="N245" s="38"/>
      <c r="O245" s="39"/>
      <c r="P245" s="38"/>
      <c r="Q245" s="39"/>
      <c r="R245" s="43" t="str">
        <f aca="false">IF(C245="","",IF(Q245&lt;&gt;"",Q245,IF(OR(W245=1,N245="Won",N245="Lost",N245="Parked"),"",IF(O245&lt;&gt;"",O245+Lists!$N$2,IF(B245&lt;&gt;"",B245+Lists!$N$2,"")))))</f>
        <v/>
      </c>
      <c r="S245" s="42" t="str">
        <f aca="true">IF(C245="","",IF(W245=1,"Grey – do not email",IF(N245="Won","Won",IF(OR(N245="Lost",N245="Parked"),"Closed",IF(R245="","Amber – add next action",IF(R245&lt;TODAY(),"Red – overdue",IF(R245=TODAY(),"Red – due today",IF(R245-TODAY()&lt;=Lists!$N$3,"Amber – due soon","Green – on track"))))))))</f>
        <v/>
      </c>
      <c r="T245" s="44"/>
      <c r="U245" s="38"/>
      <c r="V245" s="42" t="str">
        <f aca="true">IF(OR(C245="",W245=1,N245="Won",N245="Lost"),"",IF(ISNUMBER(R245),IF(R245&lt;=TODAY(),R245+ROW()/100000,""),""))</f>
        <v/>
      </c>
      <c r="W245" s="42" t="n">
        <f aca="false">IF(OR(L245="Y",AND(G245&lt;&gt;"",COUNTIF('Do not contact'!$A$6:$A$505,G245)&gt;0)),1,0)</f>
        <v>0</v>
      </c>
    </row>
    <row r="246" customFormat="false" ht="27.75" hidden="false" customHeight="true" outlineLevel="0" collapsed="false">
      <c r="A246" s="38"/>
      <c r="B246" s="39"/>
      <c r="C246" s="38"/>
      <c r="D246" s="38"/>
      <c r="E246" s="38"/>
      <c r="F246" s="38"/>
      <c r="G246" s="38"/>
      <c r="H246" s="40"/>
      <c r="I246" s="38"/>
      <c r="J246" s="38"/>
      <c r="K246" s="38"/>
      <c r="L246" s="41"/>
      <c r="M246" s="42" t="str">
        <f aca="false">IF(C246="","",IF(W246=1,"NO – opted out. Do not email.",IF(I246="","Pick a contact type",IF(LEFT(I246,4)="Sole",IF(OR(LEFT(J246,7)="Consent",LEFT(J246,4)="Soft"),"Yes – add opt-out + privacy link",IF(LEFT(J246,8)="Contract","Reply about their enquiry only","NO – needs consent first (PECR)")),"Yes – add opt-out + privacy link"))))</f>
        <v/>
      </c>
      <c r="N246" s="38"/>
      <c r="O246" s="39"/>
      <c r="P246" s="38"/>
      <c r="Q246" s="39"/>
      <c r="R246" s="43" t="str">
        <f aca="false">IF(C246="","",IF(Q246&lt;&gt;"",Q246,IF(OR(W246=1,N246="Won",N246="Lost",N246="Parked"),"",IF(O246&lt;&gt;"",O246+Lists!$N$2,IF(B246&lt;&gt;"",B246+Lists!$N$2,"")))))</f>
        <v/>
      </c>
      <c r="S246" s="42" t="str">
        <f aca="true">IF(C246="","",IF(W246=1,"Grey – do not email",IF(N246="Won","Won",IF(OR(N246="Lost",N246="Parked"),"Closed",IF(R246="","Amber – add next action",IF(R246&lt;TODAY(),"Red – overdue",IF(R246=TODAY(),"Red – due today",IF(R246-TODAY()&lt;=Lists!$N$3,"Amber – due soon","Green – on track"))))))))</f>
        <v/>
      </c>
      <c r="T246" s="44"/>
      <c r="U246" s="38"/>
      <c r="V246" s="42" t="str">
        <f aca="true">IF(OR(C246="",W246=1,N246="Won",N246="Lost"),"",IF(ISNUMBER(R246),IF(R246&lt;=TODAY(),R246+ROW()/100000,""),""))</f>
        <v/>
      </c>
      <c r="W246" s="42" t="n">
        <f aca="false">IF(OR(L246="Y",AND(G246&lt;&gt;"",COUNTIF('Do not contact'!$A$6:$A$505,G246)&gt;0)),1,0)</f>
        <v>0</v>
      </c>
    </row>
    <row r="247" customFormat="false" ht="27.75" hidden="false" customHeight="true" outlineLevel="0" collapsed="false">
      <c r="A247" s="38"/>
      <c r="B247" s="39"/>
      <c r="C247" s="38"/>
      <c r="D247" s="38"/>
      <c r="E247" s="38"/>
      <c r="F247" s="38"/>
      <c r="G247" s="38"/>
      <c r="H247" s="40"/>
      <c r="I247" s="38"/>
      <c r="J247" s="38"/>
      <c r="K247" s="38"/>
      <c r="L247" s="41"/>
      <c r="M247" s="42" t="str">
        <f aca="false">IF(C247="","",IF(W247=1,"NO – opted out. Do not email.",IF(I247="","Pick a contact type",IF(LEFT(I247,4)="Sole",IF(OR(LEFT(J247,7)="Consent",LEFT(J247,4)="Soft"),"Yes – add opt-out + privacy link",IF(LEFT(J247,8)="Contract","Reply about their enquiry only","NO – needs consent first (PECR)")),"Yes – add opt-out + privacy link"))))</f>
        <v/>
      </c>
      <c r="N247" s="38"/>
      <c r="O247" s="39"/>
      <c r="P247" s="38"/>
      <c r="Q247" s="39"/>
      <c r="R247" s="43" t="str">
        <f aca="false">IF(C247="","",IF(Q247&lt;&gt;"",Q247,IF(OR(W247=1,N247="Won",N247="Lost",N247="Parked"),"",IF(O247&lt;&gt;"",O247+Lists!$N$2,IF(B247&lt;&gt;"",B247+Lists!$N$2,"")))))</f>
        <v/>
      </c>
      <c r="S247" s="42" t="str">
        <f aca="true">IF(C247="","",IF(W247=1,"Grey – do not email",IF(N247="Won","Won",IF(OR(N247="Lost",N247="Parked"),"Closed",IF(R247="","Amber – add next action",IF(R247&lt;TODAY(),"Red – overdue",IF(R247=TODAY(),"Red – due today",IF(R247-TODAY()&lt;=Lists!$N$3,"Amber – due soon","Green – on track"))))))))</f>
        <v/>
      </c>
      <c r="T247" s="44"/>
      <c r="U247" s="38"/>
      <c r="V247" s="42" t="str">
        <f aca="true">IF(OR(C247="",W247=1,N247="Won",N247="Lost"),"",IF(ISNUMBER(R247),IF(R247&lt;=TODAY(),R247+ROW()/100000,""),""))</f>
        <v/>
      </c>
      <c r="W247" s="42" t="n">
        <f aca="false">IF(OR(L247="Y",AND(G247&lt;&gt;"",COUNTIF('Do not contact'!$A$6:$A$505,G247)&gt;0)),1,0)</f>
        <v>0</v>
      </c>
    </row>
    <row r="248" customFormat="false" ht="27.75" hidden="false" customHeight="true" outlineLevel="0" collapsed="false">
      <c r="A248" s="38"/>
      <c r="B248" s="39"/>
      <c r="C248" s="38"/>
      <c r="D248" s="38"/>
      <c r="E248" s="38"/>
      <c r="F248" s="38"/>
      <c r="G248" s="38"/>
      <c r="H248" s="40"/>
      <c r="I248" s="38"/>
      <c r="J248" s="38"/>
      <c r="K248" s="38"/>
      <c r="L248" s="41"/>
      <c r="M248" s="42" t="str">
        <f aca="false">IF(C248="","",IF(W248=1,"NO – opted out. Do not email.",IF(I248="","Pick a contact type",IF(LEFT(I248,4)="Sole",IF(OR(LEFT(J248,7)="Consent",LEFT(J248,4)="Soft"),"Yes – add opt-out + privacy link",IF(LEFT(J248,8)="Contract","Reply about their enquiry only","NO – needs consent first (PECR)")),"Yes – add opt-out + privacy link"))))</f>
        <v/>
      </c>
      <c r="N248" s="38"/>
      <c r="O248" s="39"/>
      <c r="P248" s="38"/>
      <c r="Q248" s="39"/>
      <c r="R248" s="43" t="str">
        <f aca="false">IF(C248="","",IF(Q248&lt;&gt;"",Q248,IF(OR(W248=1,N248="Won",N248="Lost",N248="Parked"),"",IF(O248&lt;&gt;"",O248+Lists!$N$2,IF(B248&lt;&gt;"",B248+Lists!$N$2,"")))))</f>
        <v/>
      </c>
      <c r="S248" s="42" t="str">
        <f aca="true">IF(C248="","",IF(W248=1,"Grey – do not email",IF(N248="Won","Won",IF(OR(N248="Lost",N248="Parked"),"Closed",IF(R248="","Amber – add next action",IF(R248&lt;TODAY(),"Red – overdue",IF(R248=TODAY(),"Red – due today",IF(R248-TODAY()&lt;=Lists!$N$3,"Amber – due soon","Green – on track"))))))))</f>
        <v/>
      </c>
      <c r="T248" s="44"/>
      <c r="U248" s="38"/>
      <c r="V248" s="42" t="str">
        <f aca="true">IF(OR(C248="",W248=1,N248="Won",N248="Lost"),"",IF(ISNUMBER(R248),IF(R248&lt;=TODAY(),R248+ROW()/100000,""),""))</f>
        <v/>
      </c>
      <c r="W248" s="42" t="n">
        <f aca="false">IF(OR(L248="Y",AND(G248&lt;&gt;"",COUNTIF('Do not contact'!$A$6:$A$505,G248)&gt;0)),1,0)</f>
        <v>0</v>
      </c>
    </row>
    <row r="249" customFormat="false" ht="27.75" hidden="false" customHeight="true" outlineLevel="0" collapsed="false">
      <c r="A249" s="38"/>
      <c r="B249" s="39"/>
      <c r="C249" s="38"/>
      <c r="D249" s="38"/>
      <c r="E249" s="38"/>
      <c r="F249" s="38"/>
      <c r="G249" s="38"/>
      <c r="H249" s="40"/>
      <c r="I249" s="38"/>
      <c r="J249" s="38"/>
      <c r="K249" s="38"/>
      <c r="L249" s="41"/>
      <c r="M249" s="42" t="str">
        <f aca="false">IF(C249="","",IF(W249=1,"NO – opted out. Do not email.",IF(I249="","Pick a contact type",IF(LEFT(I249,4)="Sole",IF(OR(LEFT(J249,7)="Consent",LEFT(J249,4)="Soft"),"Yes – add opt-out + privacy link",IF(LEFT(J249,8)="Contract","Reply about their enquiry only","NO – needs consent first (PECR)")),"Yes – add opt-out + privacy link"))))</f>
        <v/>
      </c>
      <c r="N249" s="38"/>
      <c r="O249" s="39"/>
      <c r="P249" s="38"/>
      <c r="Q249" s="39"/>
      <c r="R249" s="43" t="str">
        <f aca="false">IF(C249="","",IF(Q249&lt;&gt;"",Q249,IF(OR(W249=1,N249="Won",N249="Lost",N249="Parked"),"",IF(O249&lt;&gt;"",O249+Lists!$N$2,IF(B249&lt;&gt;"",B249+Lists!$N$2,"")))))</f>
        <v/>
      </c>
      <c r="S249" s="42" t="str">
        <f aca="true">IF(C249="","",IF(W249=1,"Grey – do not email",IF(N249="Won","Won",IF(OR(N249="Lost",N249="Parked"),"Closed",IF(R249="","Amber – add next action",IF(R249&lt;TODAY(),"Red – overdue",IF(R249=TODAY(),"Red – due today",IF(R249-TODAY()&lt;=Lists!$N$3,"Amber – due soon","Green – on track"))))))))</f>
        <v/>
      </c>
      <c r="T249" s="44"/>
      <c r="U249" s="38"/>
      <c r="V249" s="42" t="str">
        <f aca="true">IF(OR(C249="",W249=1,N249="Won",N249="Lost"),"",IF(ISNUMBER(R249),IF(R249&lt;=TODAY(),R249+ROW()/100000,""),""))</f>
        <v/>
      </c>
      <c r="W249" s="42" t="n">
        <f aca="false">IF(OR(L249="Y",AND(G249&lt;&gt;"",COUNTIF('Do not contact'!$A$6:$A$505,G249)&gt;0)),1,0)</f>
        <v>0</v>
      </c>
    </row>
    <row r="250" customFormat="false" ht="27.75" hidden="false" customHeight="true" outlineLevel="0" collapsed="false">
      <c r="A250" s="38"/>
      <c r="B250" s="39"/>
      <c r="C250" s="38"/>
      <c r="D250" s="38"/>
      <c r="E250" s="38"/>
      <c r="F250" s="38"/>
      <c r="G250" s="38"/>
      <c r="H250" s="40"/>
      <c r="I250" s="38"/>
      <c r="J250" s="38"/>
      <c r="K250" s="38"/>
      <c r="L250" s="41"/>
      <c r="M250" s="42" t="str">
        <f aca="false">IF(C250="","",IF(W250=1,"NO – opted out. Do not email.",IF(I250="","Pick a contact type",IF(LEFT(I250,4)="Sole",IF(OR(LEFT(J250,7)="Consent",LEFT(J250,4)="Soft"),"Yes – add opt-out + privacy link",IF(LEFT(J250,8)="Contract","Reply about their enquiry only","NO – needs consent first (PECR)")),"Yes – add opt-out + privacy link"))))</f>
        <v/>
      </c>
      <c r="N250" s="38"/>
      <c r="O250" s="39"/>
      <c r="P250" s="38"/>
      <c r="Q250" s="39"/>
      <c r="R250" s="43" t="str">
        <f aca="false">IF(C250="","",IF(Q250&lt;&gt;"",Q250,IF(OR(W250=1,N250="Won",N250="Lost",N250="Parked"),"",IF(O250&lt;&gt;"",O250+Lists!$N$2,IF(B250&lt;&gt;"",B250+Lists!$N$2,"")))))</f>
        <v/>
      </c>
      <c r="S250" s="42" t="str">
        <f aca="true">IF(C250="","",IF(W250=1,"Grey – do not email",IF(N250="Won","Won",IF(OR(N250="Lost",N250="Parked"),"Closed",IF(R250="","Amber – add next action",IF(R250&lt;TODAY(),"Red – overdue",IF(R250=TODAY(),"Red – due today",IF(R250-TODAY()&lt;=Lists!$N$3,"Amber – due soon","Green – on track"))))))))</f>
        <v/>
      </c>
      <c r="T250" s="44"/>
      <c r="U250" s="38"/>
      <c r="V250" s="42" t="str">
        <f aca="true">IF(OR(C250="",W250=1,N250="Won",N250="Lost"),"",IF(ISNUMBER(R250),IF(R250&lt;=TODAY(),R250+ROW()/100000,""),""))</f>
        <v/>
      </c>
      <c r="W250" s="42" t="n">
        <f aca="false">IF(OR(L250="Y",AND(G250&lt;&gt;"",COUNTIF('Do not contact'!$A$6:$A$505,G250)&gt;0)),1,0)</f>
        <v>0</v>
      </c>
    </row>
    <row r="251" customFormat="false" ht="27.75" hidden="false" customHeight="true" outlineLevel="0" collapsed="false">
      <c r="A251" s="38"/>
      <c r="B251" s="39"/>
      <c r="C251" s="38"/>
      <c r="D251" s="38"/>
      <c r="E251" s="38"/>
      <c r="F251" s="38"/>
      <c r="G251" s="38"/>
      <c r="H251" s="40"/>
      <c r="I251" s="38"/>
      <c r="J251" s="38"/>
      <c r="K251" s="38"/>
      <c r="L251" s="41"/>
      <c r="M251" s="42" t="str">
        <f aca="false">IF(C251="","",IF(W251=1,"NO – opted out. Do not email.",IF(I251="","Pick a contact type",IF(LEFT(I251,4)="Sole",IF(OR(LEFT(J251,7)="Consent",LEFT(J251,4)="Soft"),"Yes – add opt-out + privacy link",IF(LEFT(J251,8)="Contract","Reply about their enquiry only","NO – needs consent first (PECR)")),"Yes – add opt-out + privacy link"))))</f>
        <v/>
      </c>
      <c r="N251" s="38"/>
      <c r="O251" s="39"/>
      <c r="P251" s="38"/>
      <c r="Q251" s="39"/>
      <c r="R251" s="43" t="str">
        <f aca="false">IF(C251="","",IF(Q251&lt;&gt;"",Q251,IF(OR(W251=1,N251="Won",N251="Lost",N251="Parked"),"",IF(O251&lt;&gt;"",O251+Lists!$N$2,IF(B251&lt;&gt;"",B251+Lists!$N$2,"")))))</f>
        <v/>
      </c>
      <c r="S251" s="42" t="str">
        <f aca="true">IF(C251="","",IF(W251=1,"Grey – do not email",IF(N251="Won","Won",IF(OR(N251="Lost",N251="Parked"),"Closed",IF(R251="","Amber – add next action",IF(R251&lt;TODAY(),"Red – overdue",IF(R251=TODAY(),"Red – due today",IF(R251-TODAY()&lt;=Lists!$N$3,"Amber – due soon","Green – on track"))))))))</f>
        <v/>
      </c>
      <c r="T251" s="44"/>
      <c r="U251" s="38"/>
      <c r="V251" s="42" t="str">
        <f aca="true">IF(OR(C251="",W251=1,N251="Won",N251="Lost"),"",IF(ISNUMBER(R251),IF(R251&lt;=TODAY(),R251+ROW()/100000,""),""))</f>
        <v/>
      </c>
      <c r="W251" s="42" t="n">
        <f aca="false">IF(OR(L251="Y",AND(G251&lt;&gt;"",COUNTIF('Do not contact'!$A$6:$A$505,G251)&gt;0)),1,0)</f>
        <v>0</v>
      </c>
    </row>
    <row r="252" customFormat="false" ht="27.75" hidden="false" customHeight="true" outlineLevel="0" collapsed="false">
      <c r="A252" s="38"/>
      <c r="B252" s="39"/>
      <c r="C252" s="38"/>
      <c r="D252" s="38"/>
      <c r="E252" s="38"/>
      <c r="F252" s="38"/>
      <c r="G252" s="38"/>
      <c r="H252" s="40"/>
      <c r="I252" s="38"/>
      <c r="J252" s="38"/>
      <c r="K252" s="38"/>
      <c r="L252" s="41"/>
      <c r="M252" s="42" t="str">
        <f aca="false">IF(C252="","",IF(W252=1,"NO – opted out. Do not email.",IF(I252="","Pick a contact type",IF(LEFT(I252,4)="Sole",IF(OR(LEFT(J252,7)="Consent",LEFT(J252,4)="Soft"),"Yes – add opt-out + privacy link",IF(LEFT(J252,8)="Contract","Reply about their enquiry only","NO – needs consent first (PECR)")),"Yes – add opt-out + privacy link"))))</f>
        <v/>
      </c>
      <c r="N252" s="38"/>
      <c r="O252" s="39"/>
      <c r="P252" s="38"/>
      <c r="Q252" s="39"/>
      <c r="R252" s="43" t="str">
        <f aca="false">IF(C252="","",IF(Q252&lt;&gt;"",Q252,IF(OR(W252=1,N252="Won",N252="Lost",N252="Parked"),"",IF(O252&lt;&gt;"",O252+Lists!$N$2,IF(B252&lt;&gt;"",B252+Lists!$N$2,"")))))</f>
        <v/>
      </c>
      <c r="S252" s="42" t="str">
        <f aca="true">IF(C252="","",IF(W252=1,"Grey – do not email",IF(N252="Won","Won",IF(OR(N252="Lost",N252="Parked"),"Closed",IF(R252="","Amber – add next action",IF(R252&lt;TODAY(),"Red – overdue",IF(R252=TODAY(),"Red – due today",IF(R252-TODAY()&lt;=Lists!$N$3,"Amber – due soon","Green – on track"))))))))</f>
        <v/>
      </c>
      <c r="T252" s="44"/>
      <c r="U252" s="38"/>
      <c r="V252" s="42" t="str">
        <f aca="true">IF(OR(C252="",W252=1,N252="Won",N252="Lost"),"",IF(ISNUMBER(R252),IF(R252&lt;=TODAY(),R252+ROW()/100000,""),""))</f>
        <v/>
      </c>
      <c r="W252" s="42" t="n">
        <f aca="false">IF(OR(L252="Y",AND(G252&lt;&gt;"",COUNTIF('Do not contact'!$A$6:$A$505,G252)&gt;0)),1,0)</f>
        <v>0</v>
      </c>
    </row>
    <row r="253" customFormat="false" ht="27.75" hidden="false" customHeight="true" outlineLevel="0" collapsed="false">
      <c r="A253" s="38"/>
      <c r="B253" s="39"/>
      <c r="C253" s="38"/>
      <c r="D253" s="38"/>
      <c r="E253" s="38"/>
      <c r="F253" s="38"/>
      <c r="G253" s="38"/>
      <c r="H253" s="40"/>
      <c r="I253" s="38"/>
      <c r="J253" s="38"/>
      <c r="K253" s="38"/>
      <c r="L253" s="41"/>
      <c r="M253" s="42" t="str">
        <f aca="false">IF(C253="","",IF(W253=1,"NO – opted out. Do not email.",IF(I253="","Pick a contact type",IF(LEFT(I253,4)="Sole",IF(OR(LEFT(J253,7)="Consent",LEFT(J253,4)="Soft"),"Yes – add opt-out + privacy link",IF(LEFT(J253,8)="Contract","Reply about their enquiry only","NO – needs consent first (PECR)")),"Yes – add opt-out + privacy link"))))</f>
        <v/>
      </c>
      <c r="N253" s="38"/>
      <c r="O253" s="39"/>
      <c r="P253" s="38"/>
      <c r="Q253" s="39"/>
      <c r="R253" s="43" t="str">
        <f aca="false">IF(C253="","",IF(Q253&lt;&gt;"",Q253,IF(OR(W253=1,N253="Won",N253="Lost",N253="Parked"),"",IF(O253&lt;&gt;"",O253+Lists!$N$2,IF(B253&lt;&gt;"",B253+Lists!$N$2,"")))))</f>
        <v/>
      </c>
      <c r="S253" s="42" t="str">
        <f aca="true">IF(C253="","",IF(W253=1,"Grey – do not email",IF(N253="Won","Won",IF(OR(N253="Lost",N253="Parked"),"Closed",IF(R253="","Amber – add next action",IF(R253&lt;TODAY(),"Red – overdue",IF(R253=TODAY(),"Red – due today",IF(R253-TODAY()&lt;=Lists!$N$3,"Amber – due soon","Green – on track"))))))))</f>
        <v/>
      </c>
      <c r="T253" s="44"/>
      <c r="U253" s="38"/>
      <c r="V253" s="42" t="str">
        <f aca="true">IF(OR(C253="",W253=1,N253="Won",N253="Lost"),"",IF(ISNUMBER(R253),IF(R253&lt;=TODAY(),R253+ROW()/100000,""),""))</f>
        <v/>
      </c>
      <c r="W253" s="42" t="n">
        <f aca="false">IF(OR(L253="Y",AND(G253&lt;&gt;"",COUNTIF('Do not contact'!$A$6:$A$505,G253)&gt;0)),1,0)</f>
        <v>0</v>
      </c>
    </row>
    <row r="254" customFormat="false" ht="27.75" hidden="false" customHeight="true" outlineLevel="0" collapsed="false">
      <c r="A254" s="38"/>
      <c r="B254" s="39"/>
      <c r="C254" s="38"/>
      <c r="D254" s="38"/>
      <c r="E254" s="38"/>
      <c r="F254" s="38"/>
      <c r="G254" s="38"/>
      <c r="H254" s="40"/>
      <c r="I254" s="38"/>
      <c r="J254" s="38"/>
      <c r="K254" s="38"/>
      <c r="L254" s="41"/>
      <c r="M254" s="42" t="str">
        <f aca="false">IF(C254="","",IF(W254=1,"NO – opted out. Do not email.",IF(I254="","Pick a contact type",IF(LEFT(I254,4)="Sole",IF(OR(LEFT(J254,7)="Consent",LEFT(J254,4)="Soft"),"Yes – add opt-out + privacy link",IF(LEFT(J254,8)="Contract","Reply about their enquiry only","NO – needs consent first (PECR)")),"Yes – add opt-out + privacy link"))))</f>
        <v/>
      </c>
      <c r="N254" s="38"/>
      <c r="O254" s="39"/>
      <c r="P254" s="38"/>
      <c r="Q254" s="39"/>
      <c r="R254" s="43" t="str">
        <f aca="false">IF(C254="","",IF(Q254&lt;&gt;"",Q254,IF(OR(W254=1,N254="Won",N254="Lost",N254="Parked"),"",IF(O254&lt;&gt;"",O254+Lists!$N$2,IF(B254&lt;&gt;"",B254+Lists!$N$2,"")))))</f>
        <v/>
      </c>
      <c r="S254" s="42" t="str">
        <f aca="true">IF(C254="","",IF(W254=1,"Grey – do not email",IF(N254="Won","Won",IF(OR(N254="Lost",N254="Parked"),"Closed",IF(R254="","Amber – add next action",IF(R254&lt;TODAY(),"Red – overdue",IF(R254=TODAY(),"Red – due today",IF(R254-TODAY()&lt;=Lists!$N$3,"Amber – due soon","Green – on track"))))))))</f>
        <v/>
      </c>
      <c r="T254" s="44"/>
      <c r="U254" s="38"/>
      <c r="V254" s="42" t="str">
        <f aca="true">IF(OR(C254="",W254=1,N254="Won",N254="Lost"),"",IF(ISNUMBER(R254),IF(R254&lt;=TODAY(),R254+ROW()/100000,""),""))</f>
        <v/>
      </c>
      <c r="W254" s="42" t="n">
        <f aca="false">IF(OR(L254="Y",AND(G254&lt;&gt;"",COUNTIF('Do not contact'!$A$6:$A$505,G254)&gt;0)),1,0)</f>
        <v>0</v>
      </c>
    </row>
    <row r="255" customFormat="false" ht="27.75" hidden="false" customHeight="true" outlineLevel="0" collapsed="false">
      <c r="A255" s="38"/>
      <c r="B255" s="39"/>
      <c r="C255" s="38"/>
      <c r="D255" s="38"/>
      <c r="E255" s="38"/>
      <c r="F255" s="38"/>
      <c r="G255" s="38"/>
      <c r="H255" s="40"/>
      <c r="I255" s="38"/>
      <c r="J255" s="38"/>
      <c r="K255" s="38"/>
      <c r="L255" s="41"/>
      <c r="M255" s="42" t="str">
        <f aca="false">IF(C255="","",IF(W255=1,"NO – opted out. Do not email.",IF(I255="","Pick a contact type",IF(LEFT(I255,4)="Sole",IF(OR(LEFT(J255,7)="Consent",LEFT(J255,4)="Soft"),"Yes – add opt-out + privacy link",IF(LEFT(J255,8)="Contract","Reply about their enquiry only","NO – needs consent first (PECR)")),"Yes – add opt-out + privacy link"))))</f>
        <v/>
      </c>
      <c r="N255" s="38"/>
      <c r="O255" s="39"/>
      <c r="P255" s="38"/>
      <c r="Q255" s="39"/>
      <c r="R255" s="43" t="str">
        <f aca="false">IF(C255="","",IF(Q255&lt;&gt;"",Q255,IF(OR(W255=1,N255="Won",N255="Lost",N255="Parked"),"",IF(O255&lt;&gt;"",O255+Lists!$N$2,IF(B255&lt;&gt;"",B255+Lists!$N$2,"")))))</f>
        <v/>
      </c>
      <c r="S255" s="42" t="str">
        <f aca="true">IF(C255="","",IF(W255=1,"Grey – do not email",IF(N255="Won","Won",IF(OR(N255="Lost",N255="Parked"),"Closed",IF(R255="","Amber – add next action",IF(R255&lt;TODAY(),"Red – overdue",IF(R255=TODAY(),"Red – due today",IF(R255-TODAY()&lt;=Lists!$N$3,"Amber – due soon","Green – on track"))))))))</f>
        <v/>
      </c>
      <c r="T255" s="44"/>
      <c r="U255" s="38"/>
      <c r="V255" s="42" t="str">
        <f aca="true">IF(OR(C255="",W255=1,N255="Won",N255="Lost"),"",IF(ISNUMBER(R255),IF(R255&lt;=TODAY(),R255+ROW()/100000,""),""))</f>
        <v/>
      </c>
      <c r="W255" s="42" t="n">
        <f aca="false">IF(OR(L255="Y",AND(G255&lt;&gt;"",COUNTIF('Do not contact'!$A$6:$A$505,G255)&gt;0)),1,0)</f>
        <v>0</v>
      </c>
    </row>
    <row r="256" customFormat="false" ht="27.75" hidden="false" customHeight="true" outlineLevel="0" collapsed="false">
      <c r="A256" s="38"/>
      <c r="B256" s="39"/>
      <c r="C256" s="38"/>
      <c r="D256" s="38"/>
      <c r="E256" s="38"/>
      <c r="F256" s="38"/>
      <c r="G256" s="38"/>
      <c r="H256" s="40"/>
      <c r="I256" s="38"/>
      <c r="J256" s="38"/>
      <c r="K256" s="38"/>
      <c r="L256" s="41"/>
      <c r="M256" s="42" t="str">
        <f aca="false">IF(C256="","",IF(W256=1,"NO – opted out. Do not email.",IF(I256="","Pick a contact type",IF(LEFT(I256,4)="Sole",IF(OR(LEFT(J256,7)="Consent",LEFT(J256,4)="Soft"),"Yes – add opt-out + privacy link",IF(LEFT(J256,8)="Contract","Reply about their enquiry only","NO – needs consent first (PECR)")),"Yes – add opt-out + privacy link"))))</f>
        <v/>
      </c>
      <c r="N256" s="38"/>
      <c r="O256" s="39"/>
      <c r="P256" s="38"/>
      <c r="Q256" s="39"/>
      <c r="R256" s="43" t="str">
        <f aca="false">IF(C256="","",IF(Q256&lt;&gt;"",Q256,IF(OR(W256=1,N256="Won",N256="Lost",N256="Parked"),"",IF(O256&lt;&gt;"",O256+Lists!$N$2,IF(B256&lt;&gt;"",B256+Lists!$N$2,"")))))</f>
        <v/>
      </c>
      <c r="S256" s="42" t="str">
        <f aca="true">IF(C256="","",IF(W256=1,"Grey – do not email",IF(N256="Won","Won",IF(OR(N256="Lost",N256="Parked"),"Closed",IF(R256="","Amber – add next action",IF(R256&lt;TODAY(),"Red – overdue",IF(R256=TODAY(),"Red – due today",IF(R256-TODAY()&lt;=Lists!$N$3,"Amber – due soon","Green – on track"))))))))</f>
        <v/>
      </c>
      <c r="T256" s="44"/>
      <c r="U256" s="38"/>
      <c r="V256" s="42" t="str">
        <f aca="true">IF(OR(C256="",W256=1,N256="Won",N256="Lost"),"",IF(ISNUMBER(R256),IF(R256&lt;=TODAY(),R256+ROW()/100000,""),""))</f>
        <v/>
      </c>
      <c r="W256" s="42" t="n">
        <f aca="false">IF(OR(L256="Y",AND(G256&lt;&gt;"",COUNTIF('Do not contact'!$A$6:$A$505,G256)&gt;0)),1,0)</f>
        <v>0</v>
      </c>
    </row>
    <row r="257" customFormat="false" ht="27.75" hidden="false" customHeight="true" outlineLevel="0" collapsed="false">
      <c r="A257" s="38"/>
      <c r="B257" s="39"/>
      <c r="C257" s="38"/>
      <c r="D257" s="38"/>
      <c r="E257" s="38"/>
      <c r="F257" s="38"/>
      <c r="G257" s="38"/>
      <c r="H257" s="40"/>
      <c r="I257" s="38"/>
      <c r="J257" s="38"/>
      <c r="K257" s="38"/>
      <c r="L257" s="41"/>
      <c r="M257" s="42" t="str">
        <f aca="false">IF(C257="","",IF(W257=1,"NO – opted out. Do not email.",IF(I257="","Pick a contact type",IF(LEFT(I257,4)="Sole",IF(OR(LEFT(J257,7)="Consent",LEFT(J257,4)="Soft"),"Yes – add opt-out + privacy link",IF(LEFT(J257,8)="Contract","Reply about their enquiry only","NO – needs consent first (PECR)")),"Yes – add opt-out + privacy link"))))</f>
        <v/>
      </c>
      <c r="N257" s="38"/>
      <c r="O257" s="39"/>
      <c r="P257" s="38"/>
      <c r="Q257" s="39"/>
      <c r="R257" s="43" t="str">
        <f aca="false">IF(C257="","",IF(Q257&lt;&gt;"",Q257,IF(OR(W257=1,N257="Won",N257="Lost",N257="Parked"),"",IF(O257&lt;&gt;"",O257+Lists!$N$2,IF(B257&lt;&gt;"",B257+Lists!$N$2,"")))))</f>
        <v/>
      </c>
      <c r="S257" s="42" t="str">
        <f aca="true">IF(C257="","",IF(W257=1,"Grey – do not email",IF(N257="Won","Won",IF(OR(N257="Lost",N257="Parked"),"Closed",IF(R257="","Amber – add next action",IF(R257&lt;TODAY(),"Red – overdue",IF(R257=TODAY(),"Red – due today",IF(R257-TODAY()&lt;=Lists!$N$3,"Amber – due soon","Green – on track"))))))))</f>
        <v/>
      </c>
      <c r="T257" s="44"/>
      <c r="U257" s="38"/>
      <c r="V257" s="42" t="str">
        <f aca="true">IF(OR(C257="",W257=1,N257="Won",N257="Lost"),"",IF(ISNUMBER(R257),IF(R257&lt;=TODAY(),R257+ROW()/100000,""),""))</f>
        <v/>
      </c>
      <c r="W257" s="42" t="n">
        <f aca="false">IF(OR(L257="Y",AND(G257&lt;&gt;"",COUNTIF('Do not contact'!$A$6:$A$505,G257)&gt;0)),1,0)</f>
        <v>0</v>
      </c>
    </row>
    <row r="258" customFormat="false" ht="27.75" hidden="false" customHeight="true" outlineLevel="0" collapsed="false">
      <c r="A258" s="38"/>
      <c r="B258" s="39"/>
      <c r="C258" s="38"/>
      <c r="D258" s="38"/>
      <c r="E258" s="38"/>
      <c r="F258" s="38"/>
      <c r="G258" s="38"/>
      <c r="H258" s="40"/>
      <c r="I258" s="38"/>
      <c r="J258" s="38"/>
      <c r="K258" s="38"/>
      <c r="L258" s="41"/>
      <c r="M258" s="42" t="str">
        <f aca="false">IF(C258="","",IF(W258=1,"NO – opted out. Do not email.",IF(I258="","Pick a contact type",IF(LEFT(I258,4)="Sole",IF(OR(LEFT(J258,7)="Consent",LEFT(J258,4)="Soft"),"Yes – add opt-out + privacy link",IF(LEFT(J258,8)="Contract","Reply about their enquiry only","NO – needs consent first (PECR)")),"Yes – add opt-out + privacy link"))))</f>
        <v/>
      </c>
      <c r="N258" s="38"/>
      <c r="O258" s="39"/>
      <c r="P258" s="38"/>
      <c r="Q258" s="39"/>
      <c r="R258" s="43" t="str">
        <f aca="false">IF(C258="","",IF(Q258&lt;&gt;"",Q258,IF(OR(W258=1,N258="Won",N258="Lost",N258="Parked"),"",IF(O258&lt;&gt;"",O258+Lists!$N$2,IF(B258&lt;&gt;"",B258+Lists!$N$2,"")))))</f>
        <v/>
      </c>
      <c r="S258" s="42" t="str">
        <f aca="true">IF(C258="","",IF(W258=1,"Grey – do not email",IF(N258="Won","Won",IF(OR(N258="Lost",N258="Parked"),"Closed",IF(R258="","Amber – add next action",IF(R258&lt;TODAY(),"Red – overdue",IF(R258=TODAY(),"Red – due today",IF(R258-TODAY()&lt;=Lists!$N$3,"Amber – due soon","Green – on track"))))))))</f>
        <v/>
      </c>
      <c r="T258" s="44"/>
      <c r="U258" s="38"/>
      <c r="V258" s="42" t="str">
        <f aca="true">IF(OR(C258="",W258=1,N258="Won",N258="Lost"),"",IF(ISNUMBER(R258),IF(R258&lt;=TODAY(),R258+ROW()/100000,""),""))</f>
        <v/>
      </c>
      <c r="W258" s="42" t="n">
        <f aca="false">IF(OR(L258="Y",AND(G258&lt;&gt;"",COUNTIF('Do not contact'!$A$6:$A$505,G258)&gt;0)),1,0)</f>
        <v>0</v>
      </c>
    </row>
    <row r="259" customFormat="false" ht="27.75" hidden="false" customHeight="true" outlineLevel="0" collapsed="false">
      <c r="A259" s="38"/>
      <c r="B259" s="39"/>
      <c r="C259" s="38"/>
      <c r="D259" s="38"/>
      <c r="E259" s="38"/>
      <c r="F259" s="38"/>
      <c r="G259" s="38"/>
      <c r="H259" s="40"/>
      <c r="I259" s="38"/>
      <c r="J259" s="38"/>
      <c r="K259" s="38"/>
      <c r="L259" s="41"/>
      <c r="M259" s="42" t="str">
        <f aca="false">IF(C259="","",IF(W259=1,"NO – opted out. Do not email.",IF(I259="","Pick a contact type",IF(LEFT(I259,4)="Sole",IF(OR(LEFT(J259,7)="Consent",LEFT(J259,4)="Soft"),"Yes – add opt-out + privacy link",IF(LEFT(J259,8)="Contract","Reply about their enquiry only","NO – needs consent first (PECR)")),"Yes – add opt-out + privacy link"))))</f>
        <v/>
      </c>
      <c r="N259" s="38"/>
      <c r="O259" s="39"/>
      <c r="P259" s="38"/>
      <c r="Q259" s="39"/>
      <c r="R259" s="43" t="str">
        <f aca="false">IF(C259="","",IF(Q259&lt;&gt;"",Q259,IF(OR(W259=1,N259="Won",N259="Lost",N259="Parked"),"",IF(O259&lt;&gt;"",O259+Lists!$N$2,IF(B259&lt;&gt;"",B259+Lists!$N$2,"")))))</f>
        <v/>
      </c>
      <c r="S259" s="42" t="str">
        <f aca="true">IF(C259="","",IF(W259=1,"Grey – do not email",IF(N259="Won","Won",IF(OR(N259="Lost",N259="Parked"),"Closed",IF(R259="","Amber – add next action",IF(R259&lt;TODAY(),"Red – overdue",IF(R259=TODAY(),"Red – due today",IF(R259-TODAY()&lt;=Lists!$N$3,"Amber – due soon","Green – on track"))))))))</f>
        <v/>
      </c>
      <c r="T259" s="44"/>
      <c r="U259" s="38"/>
      <c r="V259" s="42" t="str">
        <f aca="true">IF(OR(C259="",W259=1,N259="Won",N259="Lost"),"",IF(ISNUMBER(R259),IF(R259&lt;=TODAY(),R259+ROW()/100000,""),""))</f>
        <v/>
      </c>
      <c r="W259" s="42" t="n">
        <f aca="false">IF(OR(L259="Y",AND(G259&lt;&gt;"",COUNTIF('Do not contact'!$A$6:$A$505,G259)&gt;0)),1,0)</f>
        <v>0</v>
      </c>
    </row>
    <row r="260" customFormat="false" ht="27.75" hidden="false" customHeight="true" outlineLevel="0" collapsed="false">
      <c r="A260" s="38"/>
      <c r="B260" s="39"/>
      <c r="C260" s="38"/>
      <c r="D260" s="38"/>
      <c r="E260" s="38"/>
      <c r="F260" s="38"/>
      <c r="G260" s="38"/>
      <c r="H260" s="40"/>
      <c r="I260" s="38"/>
      <c r="J260" s="38"/>
      <c r="K260" s="38"/>
      <c r="L260" s="41"/>
      <c r="M260" s="42" t="str">
        <f aca="false">IF(C260="","",IF(W260=1,"NO – opted out. Do not email.",IF(I260="","Pick a contact type",IF(LEFT(I260,4)="Sole",IF(OR(LEFT(J260,7)="Consent",LEFT(J260,4)="Soft"),"Yes – add opt-out + privacy link",IF(LEFT(J260,8)="Contract","Reply about their enquiry only","NO – needs consent first (PECR)")),"Yes – add opt-out + privacy link"))))</f>
        <v/>
      </c>
      <c r="N260" s="38"/>
      <c r="O260" s="39"/>
      <c r="P260" s="38"/>
      <c r="Q260" s="39"/>
      <c r="R260" s="43" t="str">
        <f aca="false">IF(C260="","",IF(Q260&lt;&gt;"",Q260,IF(OR(W260=1,N260="Won",N260="Lost",N260="Parked"),"",IF(O260&lt;&gt;"",O260+Lists!$N$2,IF(B260&lt;&gt;"",B260+Lists!$N$2,"")))))</f>
        <v/>
      </c>
      <c r="S260" s="42" t="str">
        <f aca="true">IF(C260="","",IF(W260=1,"Grey – do not email",IF(N260="Won","Won",IF(OR(N260="Lost",N260="Parked"),"Closed",IF(R260="","Amber – add next action",IF(R260&lt;TODAY(),"Red – overdue",IF(R260=TODAY(),"Red – due today",IF(R260-TODAY()&lt;=Lists!$N$3,"Amber – due soon","Green – on track"))))))))</f>
        <v/>
      </c>
      <c r="T260" s="44"/>
      <c r="U260" s="38"/>
      <c r="V260" s="42" t="str">
        <f aca="true">IF(OR(C260="",W260=1,N260="Won",N260="Lost"),"",IF(ISNUMBER(R260),IF(R260&lt;=TODAY(),R260+ROW()/100000,""),""))</f>
        <v/>
      </c>
      <c r="W260" s="42" t="n">
        <f aca="false">IF(OR(L260="Y",AND(G260&lt;&gt;"",COUNTIF('Do not contact'!$A$6:$A$505,G260)&gt;0)),1,0)</f>
        <v>0</v>
      </c>
    </row>
    <row r="261" customFormat="false" ht="27.75" hidden="false" customHeight="true" outlineLevel="0" collapsed="false">
      <c r="A261" s="38"/>
      <c r="B261" s="39"/>
      <c r="C261" s="38"/>
      <c r="D261" s="38"/>
      <c r="E261" s="38"/>
      <c r="F261" s="38"/>
      <c r="G261" s="38"/>
      <c r="H261" s="40"/>
      <c r="I261" s="38"/>
      <c r="J261" s="38"/>
      <c r="K261" s="38"/>
      <c r="L261" s="41"/>
      <c r="M261" s="42" t="str">
        <f aca="false">IF(C261="","",IF(W261=1,"NO – opted out. Do not email.",IF(I261="","Pick a contact type",IF(LEFT(I261,4)="Sole",IF(OR(LEFT(J261,7)="Consent",LEFT(J261,4)="Soft"),"Yes – add opt-out + privacy link",IF(LEFT(J261,8)="Contract","Reply about their enquiry only","NO – needs consent first (PECR)")),"Yes – add opt-out + privacy link"))))</f>
        <v/>
      </c>
      <c r="N261" s="38"/>
      <c r="O261" s="39"/>
      <c r="P261" s="38"/>
      <c r="Q261" s="39"/>
      <c r="R261" s="43" t="str">
        <f aca="false">IF(C261="","",IF(Q261&lt;&gt;"",Q261,IF(OR(W261=1,N261="Won",N261="Lost",N261="Parked"),"",IF(O261&lt;&gt;"",O261+Lists!$N$2,IF(B261&lt;&gt;"",B261+Lists!$N$2,"")))))</f>
        <v/>
      </c>
      <c r="S261" s="42" t="str">
        <f aca="true">IF(C261="","",IF(W261=1,"Grey – do not email",IF(N261="Won","Won",IF(OR(N261="Lost",N261="Parked"),"Closed",IF(R261="","Amber – add next action",IF(R261&lt;TODAY(),"Red – overdue",IF(R261=TODAY(),"Red – due today",IF(R261-TODAY()&lt;=Lists!$N$3,"Amber – due soon","Green – on track"))))))))</f>
        <v/>
      </c>
      <c r="T261" s="44"/>
      <c r="U261" s="38"/>
      <c r="V261" s="42" t="str">
        <f aca="true">IF(OR(C261="",W261=1,N261="Won",N261="Lost"),"",IF(ISNUMBER(R261),IF(R261&lt;=TODAY(),R261+ROW()/100000,""),""))</f>
        <v/>
      </c>
      <c r="W261" s="42" t="n">
        <f aca="false">IF(OR(L261="Y",AND(G261&lt;&gt;"",COUNTIF('Do not contact'!$A$6:$A$505,G261)&gt;0)),1,0)</f>
        <v>0</v>
      </c>
    </row>
    <row r="262" customFormat="false" ht="27.75" hidden="false" customHeight="true" outlineLevel="0" collapsed="false">
      <c r="A262" s="38"/>
      <c r="B262" s="39"/>
      <c r="C262" s="38"/>
      <c r="D262" s="38"/>
      <c r="E262" s="38"/>
      <c r="F262" s="38"/>
      <c r="G262" s="38"/>
      <c r="H262" s="40"/>
      <c r="I262" s="38"/>
      <c r="J262" s="38"/>
      <c r="K262" s="38"/>
      <c r="L262" s="41"/>
      <c r="M262" s="42" t="str">
        <f aca="false">IF(C262="","",IF(W262=1,"NO – opted out. Do not email.",IF(I262="","Pick a contact type",IF(LEFT(I262,4)="Sole",IF(OR(LEFT(J262,7)="Consent",LEFT(J262,4)="Soft"),"Yes – add opt-out + privacy link",IF(LEFT(J262,8)="Contract","Reply about their enquiry only","NO – needs consent first (PECR)")),"Yes – add opt-out + privacy link"))))</f>
        <v/>
      </c>
      <c r="N262" s="38"/>
      <c r="O262" s="39"/>
      <c r="P262" s="38"/>
      <c r="Q262" s="39"/>
      <c r="R262" s="43" t="str">
        <f aca="false">IF(C262="","",IF(Q262&lt;&gt;"",Q262,IF(OR(W262=1,N262="Won",N262="Lost",N262="Parked"),"",IF(O262&lt;&gt;"",O262+Lists!$N$2,IF(B262&lt;&gt;"",B262+Lists!$N$2,"")))))</f>
        <v/>
      </c>
      <c r="S262" s="42" t="str">
        <f aca="true">IF(C262="","",IF(W262=1,"Grey – do not email",IF(N262="Won","Won",IF(OR(N262="Lost",N262="Parked"),"Closed",IF(R262="","Amber – add next action",IF(R262&lt;TODAY(),"Red – overdue",IF(R262=TODAY(),"Red – due today",IF(R262-TODAY()&lt;=Lists!$N$3,"Amber – due soon","Green – on track"))))))))</f>
        <v/>
      </c>
      <c r="T262" s="44"/>
      <c r="U262" s="38"/>
      <c r="V262" s="42" t="str">
        <f aca="true">IF(OR(C262="",W262=1,N262="Won",N262="Lost"),"",IF(ISNUMBER(R262),IF(R262&lt;=TODAY(),R262+ROW()/100000,""),""))</f>
        <v/>
      </c>
      <c r="W262" s="42" t="n">
        <f aca="false">IF(OR(L262="Y",AND(G262&lt;&gt;"",COUNTIF('Do not contact'!$A$6:$A$505,G262)&gt;0)),1,0)</f>
        <v>0</v>
      </c>
    </row>
    <row r="263" customFormat="false" ht="27.75" hidden="false" customHeight="true" outlineLevel="0" collapsed="false">
      <c r="A263" s="38"/>
      <c r="B263" s="39"/>
      <c r="C263" s="38"/>
      <c r="D263" s="38"/>
      <c r="E263" s="38"/>
      <c r="F263" s="38"/>
      <c r="G263" s="38"/>
      <c r="H263" s="40"/>
      <c r="I263" s="38"/>
      <c r="J263" s="38"/>
      <c r="K263" s="38"/>
      <c r="L263" s="41"/>
      <c r="M263" s="42" t="str">
        <f aca="false">IF(C263="","",IF(W263=1,"NO – opted out. Do not email.",IF(I263="","Pick a contact type",IF(LEFT(I263,4)="Sole",IF(OR(LEFT(J263,7)="Consent",LEFT(J263,4)="Soft"),"Yes – add opt-out + privacy link",IF(LEFT(J263,8)="Contract","Reply about their enquiry only","NO – needs consent first (PECR)")),"Yes – add opt-out + privacy link"))))</f>
        <v/>
      </c>
      <c r="N263" s="38"/>
      <c r="O263" s="39"/>
      <c r="P263" s="38"/>
      <c r="Q263" s="39"/>
      <c r="R263" s="43" t="str">
        <f aca="false">IF(C263="","",IF(Q263&lt;&gt;"",Q263,IF(OR(W263=1,N263="Won",N263="Lost",N263="Parked"),"",IF(O263&lt;&gt;"",O263+Lists!$N$2,IF(B263&lt;&gt;"",B263+Lists!$N$2,"")))))</f>
        <v/>
      </c>
      <c r="S263" s="42" t="str">
        <f aca="true">IF(C263="","",IF(W263=1,"Grey – do not email",IF(N263="Won","Won",IF(OR(N263="Lost",N263="Parked"),"Closed",IF(R263="","Amber – add next action",IF(R263&lt;TODAY(),"Red – overdue",IF(R263=TODAY(),"Red – due today",IF(R263-TODAY()&lt;=Lists!$N$3,"Amber – due soon","Green – on track"))))))))</f>
        <v/>
      </c>
      <c r="T263" s="44"/>
      <c r="U263" s="38"/>
      <c r="V263" s="42" t="str">
        <f aca="true">IF(OR(C263="",W263=1,N263="Won",N263="Lost"),"",IF(ISNUMBER(R263),IF(R263&lt;=TODAY(),R263+ROW()/100000,""),""))</f>
        <v/>
      </c>
      <c r="W263" s="42" t="n">
        <f aca="false">IF(OR(L263="Y",AND(G263&lt;&gt;"",COUNTIF('Do not contact'!$A$6:$A$505,G263)&gt;0)),1,0)</f>
        <v>0</v>
      </c>
    </row>
    <row r="264" customFormat="false" ht="27.75" hidden="false" customHeight="true" outlineLevel="0" collapsed="false">
      <c r="A264" s="38"/>
      <c r="B264" s="39"/>
      <c r="C264" s="38"/>
      <c r="D264" s="38"/>
      <c r="E264" s="38"/>
      <c r="F264" s="38"/>
      <c r="G264" s="38"/>
      <c r="H264" s="40"/>
      <c r="I264" s="38"/>
      <c r="J264" s="38"/>
      <c r="K264" s="38"/>
      <c r="L264" s="41"/>
      <c r="M264" s="42" t="str">
        <f aca="false">IF(C264="","",IF(W264=1,"NO – opted out. Do not email.",IF(I264="","Pick a contact type",IF(LEFT(I264,4)="Sole",IF(OR(LEFT(J264,7)="Consent",LEFT(J264,4)="Soft"),"Yes – add opt-out + privacy link",IF(LEFT(J264,8)="Contract","Reply about their enquiry only","NO – needs consent first (PECR)")),"Yes – add opt-out + privacy link"))))</f>
        <v/>
      </c>
      <c r="N264" s="38"/>
      <c r="O264" s="39"/>
      <c r="P264" s="38"/>
      <c r="Q264" s="39"/>
      <c r="R264" s="43" t="str">
        <f aca="false">IF(C264="","",IF(Q264&lt;&gt;"",Q264,IF(OR(W264=1,N264="Won",N264="Lost",N264="Parked"),"",IF(O264&lt;&gt;"",O264+Lists!$N$2,IF(B264&lt;&gt;"",B264+Lists!$N$2,"")))))</f>
        <v/>
      </c>
      <c r="S264" s="42" t="str">
        <f aca="true">IF(C264="","",IF(W264=1,"Grey – do not email",IF(N264="Won","Won",IF(OR(N264="Lost",N264="Parked"),"Closed",IF(R264="","Amber – add next action",IF(R264&lt;TODAY(),"Red – overdue",IF(R264=TODAY(),"Red – due today",IF(R264-TODAY()&lt;=Lists!$N$3,"Amber – due soon","Green – on track"))))))))</f>
        <v/>
      </c>
      <c r="T264" s="44"/>
      <c r="U264" s="38"/>
      <c r="V264" s="42" t="str">
        <f aca="true">IF(OR(C264="",W264=1,N264="Won",N264="Lost"),"",IF(ISNUMBER(R264),IF(R264&lt;=TODAY(),R264+ROW()/100000,""),""))</f>
        <v/>
      </c>
      <c r="W264" s="42" t="n">
        <f aca="false">IF(OR(L264="Y",AND(G264&lt;&gt;"",COUNTIF('Do not contact'!$A$6:$A$505,G264)&gt;0)),1,0)</f>
        <v>0</v>
      </c>
    </row>
    <row r="265" customFormat="false" ht="27.75" hidden="false" customHeight="true" outlineLevel="0" collapsed="false">
      <c r="A265" s="38"/>
      <c r="B265" s="39"/>
      <c r="C265" s="38"/>
      <c r="D265" s="38"/>
      <c r="E265" s="38"/>
      <c r="F265" s="38"/>
      <c r="G265" s="38"/>
      <c r="H265" s="40"/>
      <c r="I265" s="38"/>
      <c r="J265" s="38"/>
      <c r="K265" s="38"/>
      <c r="L265" s="41"/>
      <c r="M265" s="42" t="str">
        <f aca="false">IF(C265="","",IF(W265=1,"NO – opted out. Do not email.",IF(I265="","Pick a contact type",IF(LEFT(I265,4)="Sole",IF(OR(LEFT(J265,7)="Consent",LEFT(J265,4)="Soft"),"Yes – add opt-out + privacy link",IF(LEFT(J265,8)="Contract","Reply about their enquiry only","NO – needs consent first (PECR)")),"Yes – add opt-out + privacy link"))))</f>
        <v/>
      </c>
      <c r="N265" s="38"/>
      <c r="O265" s="39"/>
      <c r="P265" s="38"/>
      <c r="Q265" s="39"/>
      <c r="R265" s="43" t="str">
        <f aca="false">IF(C265="","",IF(Q265&lt;&gt;"",Q265,IF(OR(W265=1,N265="Won",N265="Lost",N265="Parked"),"",IF(O265&lt;&gt;"",O265+Lists!$N$2,IF(B265&lt;&gt;"",B265+Lists!$N$2,"")))))</f>
        <v/>
      </c>
      <c r="S265" s="42" t="str">
        <f aca="true">IF(C265="","",IF(W265=1,"Grey – do not email",IF(N265="Won","Won",IF(OR(N265="Lost",N265="Parked"),"Closed",IF(R265="","Amber – add next action",IF(R265&lt;TODAY(),"Red – overdue",IF(R265=TODAY(),"Red – due today",IF(R265-TODAY()&lt;=Lists!$N$3,"Amber – due soon","Green – on track"))))))))</f>
        <v/>
      </c>
      <c r="T265" s="44"/>
      <c r="U265" s="38"/>
      <c r="V265" s="42" t="str">
        <f aca="true">IF(OR(C265="",W265=1,N265="Won",N265="Lost"),"",IF(ISNUMBER(R265),IF(R265&lt;=TODAY(),R265+ROW()/100000,""),""))</f>
        <v/>
      </c>
      <c r="W265" s="42" t="n">
        <f aca="false">IF(OR(L265="Y",AND(G265&lt;&gt;"",COUNTIF('Do not contact'!$A$6:$A$505,G265)&gt;0)),1,0)</f>
        <v>0</v>
      </c>
    </row>
    <row r="266" customFormat="false" ht="27.75" hidden="false" customHeight="true" outlineLevel="0" collapsed="false">
      <c r="A266" s="38"/>
      <c r="B266" s="39"/>
      <c r="C266" s="38"/>
      <c r="D266" s="38"/>
      <c r="E266" s="38"/>
      <c r="F266" s="38"/>
      <c r="G266" s="38"/>
      <c r="H266" s="40"/>
      <c r="I266" s="38"/>
      <c r="J266" s="38"/>
      <c r="K266" s="38"/>
      <c r="L266" s="41"/>
      <c r="M266" s="42" t="str">
        <f aca="false">IF(C266="","",IF(W266=1,"NO – opted out. Do not email.",IF(I266="","Pick a contact type",IF(LEFT(I266,4)="Sole",IF(OR(LEFT(J266,7)="Consent",LEFT(J266,4)="Soft"),"Yes – add opt-out + privacy link",IF(LEFT(J266,8)="Contract","Reply about their enquiry only","NO – needs consent first (PECR)")),"Yes – add opt-out + privacy link"))))</f>
        <v/>
      </c>
      <c r="N266" s="38"/>
      <c r="O266" s="39"/>
      <c r="P266" s="38"/>
      <c r="Q266" s="39"/>
      <c r="R266" s="43" t="str">
        <f aca="false">IF(C266="","",IF(Q266&lt;&gt;"",Q266,IF(OR(W266=1,N266="Won",N266="Lost",N266="Parked"),"",IF(O266&lt;&gt;"",O266+Lists!$N$2,IF(B266&lt;&gt;"",B266+Lists!$N$2,"")))))</f>
        <v/>
      </c>
      <c r="S266" s="42" t="str">
        <f aca="true">IF(C266="","",IF(W266=1,"Grey – do not email",IF(N266="Won","Won",IF(OR(N266="Lost",N266="Parked"),"Closed",IF(R266="","Amber – add next action",IF(R266&lt;TODAY(),"Red – overdue",IF(R266=TODAY(),"Red – due today",IF(R266-TODAY()&lt;=Lists!$N$3,"Amber – due soon","Green – on track"))))))))</f>
        <v/>
      </c>
      <c r="T266" s="44"/>
      <c r="U266" s="38"/>
      <c r="V266" s="42" t="str">
        <f aca="true">IF(OR(C266="",W266=1,N266="Won",N266="Lost"),"",IF(ISNUMBER(R266),IF(R266&lt;=TODAY(),R266+ROW()/100000,""),""))</f>
        <v/>
      </c>
      <c r="W266" s="42" t="n">
        <f aca="false">IF(OR(L266="Y",AND(G266&lt;&gt;"",COUNTIF('Do not contact'!$A$6:$A$505,G266)&gt;0)),1,0)</f>
        <v>0</v>
      </c>
    </row>
    <row r="267" customFormat="false" ht="27.75" hidden="false" customHeight="true" outlineLevel="0" collapsed="false">
      <c r="A267" s="38"/>
      <c r="B267" s="39"/>
      <c r="C267" s="38"/>
      <c r="D267" s="38"/>
      <c r="E267" s="38"/>
      <c r="F267" s="38"/>
      <c r="G267" s="38"/>
      <c r="H267" s="40"/>
      <c r="I267" s="38"/>
      <c r="J267" s="38"/>
      <c r="K267" s="38"/>
      <c r="L267" s="41"/>
      <c r="M267" s="42" t="str">
        <f aca="false">IF(C267="","",IF(W267=1,"NO – opted out. Do not email.",IF(I267="","Pick a contact type",IF(LEFT(I267,4)="Sole",IF(OR(LEFT(J267,7)="Consent",LEFT(J267,4)="Soft"),"Yes – add opt-out + privacy link",IF(LEFT(J267,8)="Contract","Reply about their enquiry only","NO – needs consent first (PECR)")),"Yes – add opt-out + privacy link"))))</f>
        <v/>
      </c>
      <c r="N267" s="38"/>
      <c r="O267" s="39"/>
      <c r="P267" s="38"/>
      <c r="Q267" s="39"/>
      <c r="R267" s="43" t="str">
        <f aca="false">IF(C267="","",IF(Q267&lt;&gt;"",Q267,IF(OR(W267=1,N267="Won",N267="Lost",N267="Parked"),"",IF(O267&lt;&gt;"",O267+Lists!$N$2,IF(B267&lt;&gt;"",B267+Lists!$N$2,"")))))</f>
        <v/>
      </c>
      <c r="S267" s="42" t="str">
        <f aca="true">IF(C267="","",IF(W267=1,"Grey – do not email",IF(N267="Won","Won",IF(OR(N267="Lost",N267="Parked"),"Closed",IF(R267="","Amber – add next action",IF(R267&lt;TODAY(),"Red – overdue",IF(R267=TODAY(),"Red – due today",IF(R267-TODAY()&lt;=Lists!$N$3,"Amber – due soon","Green – on track"))))))))</f>
        <v/>
      </c>
      <c r="T267" s="44"/>
      <c r="U267" s="38"/>
      <c r="V267" s="42" t="str">
        <f aca="true">IF(OR(C267="",W267=1,N267="Won",N267="Lost"),"",IF(ISNUMBER(R267),IF(R267&lt;=TODAY(),R267+ROW()/100000,""),""))</f>
        <v/>
      </c>
      <c r="W267" s="42" t="n">
        <f aca="false">IF(OR(L267="Y",AND(G267&lt;&gt;"",COUNTIF('Do not contact'!$A$6:$A$505,G267)&gt;0)),1,0)</f>
        <v>0</v>
      </c>
    </row>
    <row r="268" customFormat="false" ht="27.75" hidden="false" customHeight="true" outlineLevel="0" collapsed="false">
      <c r="A268" s="38"/>
      <c r="B268" s="39"/>
      <c r="C268" s="38"/>
      <c r="D268" s="38"/>
      <c r="E268" s="38"/>
      <c r="F268" s="38"/>
      <c r="G268" s="38"/>
      <c r="H268" s="40"/>
      <c r="I268" s="38"/>
      <c r="J268" s="38"/>
      <c r="K268" s="38"/>
      <c r="L268" s="41"/>
      <c r="M268" s="42" t="str">
        <f aca="false">IF(C268="","",IF(W268=1,"NO – opted out. Do not email.",IF(I268="","Pick a contact type",IF(LEFT(I268,4)="Sole",IF(OR(LEFT(J268,7)="Consent",LEFT(J268,4)="Soft"),"Yes – add opt-out + privacy link",IF(LEFT(J268,8)="Contract","Reply about their enquiry only","NO – needs consent first (PECR)")),"Yes – add opt-out + privacy link"))))</f>
        <v/>
      </c>
      <c r="N268" s="38"/>
      <c r="O268" s="39"/>
      <c r="P268" s="38"/>
      <c r="Q268" s="39"/>
      <c r="R268" s="43" t="str">
        <f aca="false">IF(C268="","",IF(Q268&lt;&gt;"",Q268,IF(OR(W268=1,N268="Won",N268="Lost",N268="Parked"),"",IF(O268&lt;&gt;"",O268+Lists!$N$2,IF(B268&lt;&gt;"",B268+Lists!$N$2,"")))))</f>
        <v/>
      </c>
      <c r="S268" s="42" t="str">
        <f aca="true">IF(C268="","",IF(W268=1,"Grey – do not email",IF(N268="Won","Won",IF(OR(N268="Lost",N268="Parked"),"Closed",IF(R268="","Amber – add next action",IF(R268&lt;TODAY(),"Red – overdue",IF(R268=TODAY(),"Red – due today",IF(R268-TODAY()&lt;=Lists!$N$3,"Amber – due soon","Green – on track"))))))))</f>
        <v/>
      </c>
      <c r="T268" s="44"/>
      <c r="U268" s="38"/>
      <c r="V268" s="42" t="str">
        <f aca="true">IF(OR(C268="",W268=1,N268="Won",N268="Lost"),"",IF(ISNUMBER(R268),IF(R268&lt;=TODAY(),R268+ROW()/100000,""),""))</f>
        <v/>
      </c>
      <c r="W268" s="42" t="n">
        <f aca="false">IF(OR(L268="Y",AND(G268&lt;&gt;"",COUNTIF('Do not contact'!$A$6:$A$505,G268)&gt;0)),1,0)</f>
        <v>0</v>
      </c>
    </row>
    <row r="269" customFormat="false" ht="27.75" hidden="false" customHeight="true" outlineLevel="0" collapsed="false">
      <c r="A269" s="38"/>
      <c r="B269" s="39"/>
      <c r="C269" s="38"/>
      <c r="D269" s="38"/>
      <c r="E269" s="38"/>
      <c r="F269" s="38"/>
      <c r="G269" s="38"/>
      <c r="H269" s="40"/>
      <c r="I269" s="38"/>
      <c r="J269" s="38"/>
      <c r="K269" s="38"/>
      <c r="L269" s="41"/>
      <c r="M269" s="42" t="str">
        <f aca="false">IF(C269="","",IF(W269=1,"NO – opted out. Do not email.",IF(I269="","Pick a contact type",IF(LEFT(I269,4)="Sole",IF(OR(LEFT(J269,7)="Consent",LEFT(J269,4)="Soft"),"Yes – add opt-out + privacy link",IF(LEFT(J269,8)="Contract","Reply about their enquiry only","NO – needs consent first (PECR)")),"Yes – add opt-out + privacy link"))))</f>
        <v/>
      </c>
      <c r="N269" s="38"/>
      <c r="O269" s="39"/>
      <c r="P269" s="38"/>
      <c r="Q269" s="39"/>
      <c r="R269" s="43" t="str">
        <f aca="false">IF(C269="","",IF(Q269&lt;&gt;"",Q269,IF(OR(W269=1,N269="Won",N269="Lost",N269="Parked"),"",IF(O269&lt;&gt;"",O269+Lists!$N$2,IF(B269&lt;&gt;"",B269+Lists!$N$2,"")))))</f>
        <v/>
      </c>
      <c r="S269" s="42" t="str">
        <f aca="true">IF(C269="","",IF(W269=1,"Grey – do not email",IF(N269="Won","Won",IF(OR(N269="Lost",N269="Parked"),"Closed",IF(R269="","Amber – add next action",IF(R269&lt;TODAY(),"Red – overdue",IF(R269=TODAY(),"Red – due today",IF(R269-TODAY()&lt;=Lists!$N$3,"Amber – due soon","Green – on track"))))))))</f>
        <v/>
      </c>
      <c r="T269" s="44"/>
      <c r="U269" s="38"/>
      <c r="V269" s="42" t="str">
        <f aca="true">IF(OR(C269="",W269=1,N269="Won",N269="Lost"),"",IF(ISNUMBER(R269),IF(R269&lt;=TODAY(),R269+ROW()/100000,""),""))</f>
        <v/>
      </c>
      <c r="W269" s="42" t="n">
        <f aca="false">IF(OR(L269="Y",AND(G269&lt;&gt;"",COUNTIF('Do not contact'!$A$6:$A$505,G269)&gt;0)),1,0)</f>
        <v>0</v>
      </c>
    </row>
    <row r="270" customFormat="false" ht="27.75" hidden="false" customHeight="true" outlineLevel="0" collapsed="false">
      <c r="A270" s="38"/>
      <c r="B270" s="39"/>
      <c r="C270" s="38"/>
      <c r="D270" s="38"/>
      <c r="E270" s="38"/>
      <c r="F270" s="38"/>
      <c r="G270" s="38"/>
      <c r="H270" s="40"/>
      <c r="I270" s="38"/>
      <c r="J270" s="38"/>
      <c r="K270" s="38"/>
      <c r="L270" s="41"/>
      <c r="M270" s="42" t="str">
        <f aca="false">IF(C270="","",IF(W270=1,"NO – opted out. Do not email.",IF(I270="","Pick a contact type",IF(LEFT(I270,4)="Sole",IF(OR(LEFT(J270,7)="Consent",LEFT(J270,4)="Soft"),"Yes – add opt-out + privacy link",IF(LEFT(J270,8)="Contract","Reply about their enquiry only","NO – needs consent first (PECR)")),"Yes – add opt-out + privacy link"))))</f>
        <v/>
      </c>
      <c r="N270" s="38"/>
      <c r="O270" s="39"/>
      <c r="P270" s="38"/>
      <c r="Q270" s="39"/>
      <c r="R270" s="43" t="str">
        <f aca="false">IF(C270="","",IF(Q270&lt;&gt;"",Q270,IF(OR(W270=1,N270="Won",N270="Lost",N270="Parked"),"",IF(O270&lt;&gt;"",O270+Lists!$N$2,IF(B270&lt;&gt;"",B270+Lists!$N$2,"")))))</f>
        <v/>
      </c>
      <c r="S270" s="42" t="str">
        <f aca="true">IF(C270="","",IF(W270=1,"Grey – do not email",IF(N270="Won","Won",IF(OR(N270="Lost",N270="Parked"),"Closed",IF(R270="","Amber – add next action",IF(R270&lt;TODAY(),"Red – overdue",IF(R270=TODAY(),"Red – due today",IF(R270-TODAY()&lt;=Lists!$N$3,"Amber – due soon","Green – on track"))))))))</f>
        <v/>
      </c>
      <c r="T270" s="44"/>
      <c r="U270" s="38"/>
      <c r="V270" s="42" t="str">
        <f aca="true">IF(OR(C270="",W270=1,N270="Won",N270="Lost"),"",IF(ISNUMBER(R270),IF(R270&lt;=TODAY(),R270+ROW()/100000,""),""))</f>
        <v/>
      </c>
      <c r="W270" s="42" t="n">
        <f aca="false">IF(OR(L270="Y",AND(G270&lt;&gt;"",COUNTIF('Do not contact'!$A$6:$A$505,G270)&gt;0)),1,0)</f>
        <v>0</v>
      </c>
    </row>
    <row r="271" customFormat="false" ht="27.75" hidden="false" customHeight="true" outlineLevel="0" collapsed="false">
      <c r="A271" s="38"/>
      <c r="B271" s="39"/>
      <c r="C271" s="38"/>
      <c r="D271" s="38"/>
      <c r="E271" s="38"/>
      <c r="F271" s="38"/>
      <c r="G271" s="38"/>
      <c r="H271" s="40"/>
      <c r="I271" s="38"/>
      <c r="J271" s="38"/>
      <c r="K271" s="38"/>
      <c r="L271" s="41"/>
      <c r="M271" s="42" t="str">
        <f aca="false">IF(C271="","",IF(W271=1,"NO – opted out. Do not email.",IF(I271="","Pick a contact type",IF(LEFT(I271,4)="Sole",IF(OR(LEFT(J271,7)="Consent",LEFT(J271,4)="Soft"),"Yes – add opt-out + privacy link",IF(LEFT(J271,8)="Contract","Reply about their enquiry only","NO – needs consent first (PECR)")),"Yes – add opt-out + privacy link"))))</f>
        <v/>
      </c>
      <c r="N271" s="38"/>
      <c r="O271" s="39"/>
      <c r="P271" s="38"/>
      <c r="Q271" s="39"/>
      <c r="R271" s="43" t="str">
        <f aca="false">IF(C271="","",IF(Q271&lt;&gt;"",Q271,IF(OR(W271=1,N271="Won",N271="Lost",N271="Parked"),"",IF(O271&lt;&gt;"",O271+Lists!$N$2,IF(B271&lt;&gt;"",B271+Lists!$N$2,"")))))</f>
        <v/>
      </c>
      <c r="S271" s="42" t="str">
        <f aca="true">IF(C271="","",IF(W271=1,"Grey – do not email",IF(N271="Won","Won",IF(OR(N271="Lost",N271="Parked"),"Closed",IF(R271="","Amber – add next action",IF(R271&lt;TODAY(),"Red – overdue",IF(R271=TODAY(),"Red – due today",IF(R271-TODAY()&lt;=Lists!$N$3,"Amber – due soon","Green – on track"))))))))</f>
        <v/>
      </c>
      <c r="T271" s="44"/>
      <c r="U271" s="38"/>
      <c r="V271" s="42" t="str">
        <f aca="true">IF(OR(C271="",W271=1,N271="Won",N271="Lost"),"",IF(ISNUMBER(R271),IF(R271&lt;=TODAY(),R271+ROW()/100000,""),""))</f>
        <v/>
      </c>
      <c r="W271" s="42" t="n">
        <f aca="false">IF(OR(L271="Y",AND(G271&lt;&gt;"",COUNTIF('Do not contact'!$A$6:$A$505,G271)&gt;0)),1,0)</f>
        <v>0</v>
      </c>
    </row>
    <row r="272" customFormat="false" ht="27.75" hidden="false" customHeight="true" outlineLevel="0" collapsed="false">
      <c r="A272" s="38"/>
      <c r="B272" s="39"/>
      <c r="C272" s="38"/>
      <c r="D272" s="38"/>
      <c r="E272" s="38"/>
      <c r="F272" s="38"/>
      <c r="G272" s="38"/>
      <c r="H272" s="40"/>
      <c r="I272" s="38"/>
      <c r="J272" s="38"/>
      <c r="K272" s="38"/>
      <c r="L272" s="41"/>
      <c r="M272" s="42" t="str">
        <f aca="false">IF(C272="","",IF(W272=1,"NO – opted out. Do not email.",IF(I272="","Pick a contact type",IF(LEFT(I272,4)="Sole",IF(OR(LEFT(J272,7)="Consent",LEFT(J272,4)="Soft"),"Yes – add opt-out + privacy link",IF(LEFT(J272,8)="Contract","Reply about their enquiry only","NO – needs consent first (PECR)")),"Yes – add opt-out + privacy link"))))</f>
        <v/>
      </c>
      <c r="N272" s="38"/>
      <c r="O272" s="39"/>
      <c r="P272" s="38"/>
      <c r="Q272" s="39"/>
      <c r="R272" s="43" t="str">
        <f aca="false">IF(C272="","",IF(Q272&lt;&gt;"",Q272,IF(OR(W272=1,N272="Won",N272="Lost",N272="Parked"),"",IF(O272&lt;&gt;"",O272+Lists!$N$2,IF(B272&lt;&gt;"",B272+Lists!$N$2,"")))))</f>
        <v/>
      </c>
      <c r="S272" s="42" t="str">
        <f aca="true">IF(C272="","",IF(W272=1,"Grey – do not email",IF(N272="Won","Won",IF(OR(N272="Lost",N272="Parked"),"Closed",IF(R272="","Amber – add next action",IF(R272&lt;TODAY(),"Red – overdue",IF(R272=TODAY(),"Red – due today",IF(R272-TODAY()&lt;=Lists!$N$3,"Amber – due soon","Green – on track"))))))))</f>
        <v/>
      </c>
      <c r="T272" s="44"/>
      <c r="U272" s="38"/>
      <c r="V272" s="42" t="str">
        <f aca="true">IF(OR(C272="",W272=1,N272="Won",N272="Lost"),"",IF(ISNUMBER(R272),IF(R272&lt;=TODAY(),R272+ROW()/100000,""),""))</f>
        <v/>
      </c>
      <c r="W272" s="42" t="n">
        <f aca="false">IF(OR(L272="Y",AND(G272&lt;&gt;"",COUNTIF('Do not contact'!$A$6:$A$505,G272)&gt;0)),1,0)</f>
        <v>0</v>
      </c>
    </row>
    <row r="273" customFormat="false" ht="27.75" hidden="false" customHeight="true" outlineLevel="0" collapsed="false">
      <c r="A273" s="38"/>
      <c r="B273" s="39"/>
      <c r="C273" s="38"/>
      <c r="D273" s="38"/>
      <c r="E273" s="38"/>
      <c r="F273" s="38"/>
      <c r="G273" s="38"/>
      <c r="H273" s="40"/>
      <c r="I273" s="38"/>
      <c r="J273" s="38"/>
      <c r="K273" s="38"/>
      <c r="L273" s="41"/>
      <c r="M273" s="42" t="str">
        <f aca="false">IF(C273="","",IF(W273=1,"NO – opted out. Do not email.",IF(I273="","Pick a contact type",IF(LEFT(I273,4)="Sole",IF(OR(LEFT(J273,7)="Consent",LEFT(J273,4)="Soft"),"Yes – add opt-out + privacy link",IF(LEFT(J273,8)="Contract","Reply about their enquiry only","NO – needs consent first (PECR)")),"Yes – add opt-out + privacy link"))))</f>
        <v/>
      </c>
      <c r="N273" s="38"/>
      <c r="O273" s="39"/>
      <c r="P273" s="38"/>
      <c r="Q273" s="39"/>
      <c r="R273" s="43" t="str">
        <f aca="false">IF(C273="","",IF(Q273&lt;&gt;"",Q273,IF(OR(W273=1,N273="Won",N273="Lost",N273="Parked"),"",IF(O273&lt;&gt;"",O273+Lists!$N$2,IF(B273&lt;&gt;"",B273+Lists!$N$2,"")))))</f>
        <v/>
      </c>
      <c r="S273" s="42" t="str">
        <f aca="true">IF(C273="","",IF(W273=1,"Grey – do not email",IF(N273="Won","Won",IF(OR(N273="Lost",N273="Parked"),"Closed",IF(R273="","Amber – add next action",IF(R273&lt;TODAY(),"Red – overdue",IF(R273=TODAY(),"Red – due today",IF(R273-TODAY()&lt;=Lists!$N$3,"Amber – due soon","Green – on track"))))))))</f>
        <v/>
      </c>
      <c r="T273" s="44"/>
      <c r="U273" s="38"/>
      <c r="V273" s="42" t="str">
        <f aca="true">IF(OR(C273="",W273=1,N273="Won",N273="Lost"),"",IF(ISNUMBER(R273),IF(R273&lt;=TODAY(),R273+ROW()/100000,""),""))</f>
        <v/>
      </c>
      <c r="W273" s="42" t="n">
        <f aca="false">IF(OR(L273="Y",AND(G273&lt;&gt;"",COUNTIF('Do not contact'!$A$6:$A$505,G273)&gt;0)),1,0)</f>
        <v>0</v>
      </c>
    </row>
    <row r="274" customFormat="false" ht="27.75" hidden="false" customHeight="true" outlineLevel="0" collapsed="false">
      <c r="A274" s="38"/>
      <c r="B274" s="39"/>
      <c r="C274" s="38"/>
      <c r="D274" s="38"/>
      <c r="E274" s="38"/>
      <c r="F274" s="38"/>
      <c r="G274" s="38"/>
      <c r="H274" s="40"/>
      <c r="I274" s="38"/>
      <c r="J274" s="38"/>
      <c r="K274" s="38"/>
      <c r="L274" s="41"/>
      <c r="M274" s="42" t="str">
        <f aca="false">IF(C274="","",IF(W274=1,"NO – opted out. Do not email.",IF(I274="","Pick a contact type",IF(LEFT(I274,4)="Sole",IF(OR(LEFT(J274,7)="Consent",LEFT(J274,4)="Soft"),"Yes – add opt-out + privacy link",IF(LEFT(J274,8)="Contract","Reply about their enquiry only","NO – needs consent first (PECR)")),"Yes – add opt-out + privacy link"))))</f>
        <v/>
      </c>
      <c r="N274" s="38"/>
      <c r="O274" s="39"/>
      <c r="P274" s="38"/>
      <c r="Q274" s="39"/>
      <c r="R274" s="43" t="str">
        <f aca="false">IF(C274="","",IF(Q274&lt;&gt;"",Q274,IF(OR(W274=1,N274="Won",N274="Lost",N274="Parked"),"",IF(O274&lt;&gt;"",O274+Lists!$N$2,IF(B274&lt;&gt;"",B274+Lists!$N$2,"")))))</f>
        <v/>
      </c>
      <c r="S274" s="42" t="str">
        <f aca="true">IF(C274="","",IF(W274=1,"Grey – do not email",IF(N274="Won","Won",IF(OR(N274="Lost",N274="Parked"),"Closed",IF(R274="","Amber – add next action",IF(R274&lt;TODAY(),"Red – overdue",IF(R274=TODAY(),"Red – due today",IF(R274-TODAY()&lt;=Lists!$N$3,"Amber – due soon","Green – on track"))))))))</f>
        <v/>
      </c>
      <c r="T274" s="44"/>
      <c r="U274" s="38"/>
      <c r="V274" s="42" t="str">
        <f aca="true">IF(OR(C274="",W274=1,N274="Won",N274="Lost"),"",IF(ISNUMBER(R274),IF(R274&lt;=TODAY(),R274+ROW()/100000,""),""))</f>
        <v/>
      </c>
      <c r="W274" s="42" t="n">
        <f aca="false">IF(OR(L274="Y",AND(G274&lt;&gt;"",COUNTIF('Do not contact'!$A$6:$A$505,G274)&gt;0)),1,0)</f>
        <v>0</v>
      </c>
    </row>
    <row r="275" customFormat="false" ht="27.75" hidden="false" customHeight="true" outlineLevel="0" collapsed="false">
      <c r="A275" s="38"/>
      <c r="B275" s="39"/>
      <c r="C275" s="38"/>
      <c r="D275" s="38"/>
      <c r="E275" s="38"/>
      <c r="F275" s="38"/>
      <c r="G275" s="38"/>
      <c r="H275" s="40"/>
      <c r="I275" s="38"/>
      <c r="J275" s="38"/>
      <c r="K275" s="38"/>
      <c r="L275" s="41"/>
      <c r="M275" s="42" t="str">
        <f aca="false">IF(C275="","",IF(W275=1,"NO – opted out. Do not email.",IF(I275="","Pick a contact type",IF(LEFT(I275,4)="Sole",IF(OR(LEFT(J275,7)="Consent",LEFT(J275,4)="Soft"),"Yes – add opt-out + privacy link",IF(LEFT(J275,8)="Contract","Reply about their enquiry only","NO – needs consent first (PECR)")),"Yes – add opt-out + privacy link"))))</f>
        <v/>
      </c>
      <c r="N275" s="38"/>
      <c r="O275" s="39"/>
      <c r="P275" s="38"/>
      <c r="Q275" s="39"/>
      <c r="R275" s="43" t="str">
        <f aca="false">IF(C275="","",IF(Q275&lt;&gt;"",Q275,IF(OR(W275=1,N275="Won",N275="Lost",N275="Parked"),"",IF(O275&lt;&gt;"",O275+Lists!$N$2,IF(B275&lt;&gt;"",B275+Lists!$N$2,"")))))</f>
        <v/>
      </c>
      <c r="S275" s="42" t="str">
        <f aca="true">IF(C275="","",IF(W275=1,"Grey – do not email",IF(N275="Won","Won",IF(OR(N275="Lost",N275="Parked"),"Closed",IF(R275="","Amber – add next action",IF(R275&lt;TODAY(),"Red – overdue",IF(R275=TODAY(),"Red – due today",IF(R275-TODAY()&lt;=Lists!$N$3,"Amber – due soon","Green – on track"))))))))</f>
        <v/>
      </c>
      <c r="T275" s="44"/>
      <c r="U275" s="38"/>
      <c r="V275" s="42" t="str">
        <f aca="true">IF(OR(C275="",W275=1,N275="Won",N275="Lost"),"",IF(ISNUMBER(R275),IF(R275&lt;=TODAY(),R275+ROW()/100000,""),""))</f>
        <v/>
      </c>
      <c r="W275" s="42" t="n">
        <f aca="false">IF(OR(L275="Y",AND(G275&lt;&gt;"",COUNTIF('Do not contact'!$A$6:$A$505,G275)&gt;0)),1,0)</f>
        <v>0</v>
      </c>
    </row>
    <row r="276" customFormat="false" ht="27.75" hidden="false" customHeight="true" outlineLevel="0" collapsed="false">
      <c r="A276" s="38"/>
      <c r="B276" s="39"/>
      <c r="C276" s="38"/>
      <c r="D276" s="38"/>
      <c r="E276" s="38"/>
      <c r="F276" s="38"/>
      <c r="G276" s="38"/>
      <c r="H276" s="40"/>
      <c r="I276" s="38"/>
      <c r="J276" s="38"/>
      <c r="K276" s="38"/>
      <c r="L276" s="41"/>
      <c r="M276" s="42" t="str">
        <f aca="false">IF(C276="","",IF(W276=1,"NO – opted out. Do not email.",IF(I276="","Pick a contact type",IF(LEFT(I276,4)="Sole",IF(OR(LEFT(J276,7)="Consent",LEFT(J276,4)="Soft"),"Yes – add opt-out + privacy link",IF(LEFT(J276,8)="Contract","Reply about their enquiry only","NO – needs consent first (PECR)")),"Yes – add opt-out + privacy link"))))</f>
        <v/>
      </c>
      <c r="N276" s="38"/>
      <c r="O276" s="39"/>
      <c r="P276" s="38"/>
      <c r="Q276" s="39"/>
      <c r="R276" s="43" t="str">
        <f aca="false">IF(C276="","",IF(Q276&lt;&gt;"",Q276,IF(OR(W276=1,N276="Won",N276="Lost",N276="Parked"),"",IF(O276&lt;&gt;"",O276+Lists!$N$2,IF(B276&lt;&gt;"",B276+Lists!$N$2,"")))))</f>
        <v/>
      </c>
      <c r="S276" s="42" t="str">
        <f aca="true">IF(C276="","",IF(W276=1,"Grey – do not email",IF(N276="Won","Won",IF(OR(N276="Lost",N276="Parked"),"Closed",IF(R276="","Amber – add next action",IF(R276&lt;TODAY(),"Red – overdue",IF(R276=TODAY(),"Red – due today",IF(R276-TODAY()&lt;=Lists!$N$3,"Amber – due soon","Green – on track"))))))))</f>
        <v/>
      </c>
      <c r="T276" s="44"/>
      <c r="U276" s="38"/>
      <c r="V276" s="42" t="str">
        <f aca="true">IF(OR(C276="",W276=1,N276="Won",N276="Lost"),"",IF(ISNUMBER(R276),IF(R276&lt;=TODAY(),R276+ROW()/100000,""),""))</f>
        <v/>
      </c>
      <c r="W276" s="42" t="n">
        <f aca="false">IF(OR(L276="Y",AND(G276&lt;&gt;"",COUNTIF('Do not contact'!$A$6:$A$505,G276)&gt;0)),1,0)</f>
        <v>0</v>
      </c>
    </row>
    <row r="277" customFormat="false" ht="27.75" hidden="false" customHeight="true" outlineLevel="0" collapsed="false">
      <c r="A277" s="38"/>
      <c r="B277" s="39"/>
      <c r="C277" s="38"/>
      <c r="D277" s="38"/>
      <c r="E277" s="38"/>
      <c r="F277" s="38"/>
      <c r="G277" s="38"/>
      <c r="H277" s="40"/>
      <c r="I277" s="38"/>
      <c r="J277" s="38"/>
      <c r="K277" s="38"/>
      <c r="L277" s="41"/>
      <c r="M277" s="42" t="str">
        <f aca="false">IF(C277="","",IF(W277=1,"NO – opted out. Do not email.",IF(I277="","Pick a contact type",IF(LEFT(I277,4)="Sole",IF(OR(LEFT(J277,7)="Consent",LEFT(J277,4)="Soft"),"Yes – add opt-out + privacy link",IF(LEFT(J277,8)="Contract","Reply about their enquiry only","NO – needs consent first (PECR)")),"Yes – add opt-out + privacy link"))))</f>
        <v/>
      </c>
      <c r="N277" s="38"/>
      <c r="O277" s="39"/>
      <c r="P277" s="38"/>
      <c r="Q277" s="39"/>
      <c r="R277" s="43" t="str">
        <f aca="false">IF(C277="","",IF(Q277&lt;&gt;"",Q277,IF(OR(W277=1,N277="Won",N277="Lost",N277="Parked"),"",IF(O277&lt;&gt;"",O277+Lists!$N$2,IF(B277&lt;&gt;"",B277+Lists!$N$2,"")))))</f>
        <v/>
      </c>
      <c r="S277" s="42" t="str">
        <f aca="true">IF(C277="","",IF(W277=1,"Grey – do not email",IF(N277="Won","Won",IF(OR(N277="Lost",N277="Parked"),"Closed",IF(R277="","Amber – add next action",IF(R277&lt;TODAY(),"Red – overdue",IF(R277=TODAY(),"Red – due today",IF(R277-TODAY()&lt;=Lists!$N$3,"Amber – due soon","Green – on track"))))))))</f>
        <v/>
      </c>
      <c r="T277" s="44"/>
      <c r="U277" s="38"/>
      <c r="V277" s="42" t="str">
        <f aca="true">IF(OR(C277="",W277=1,N277="Won",N277="Lost"),"",IF(ISNUMBER(R277),IF(R277&lt;=TODAY(),R277+ROW()/100000,""),""))</f>
        <v/>
      </c>
      <c r="W277" s="42" t="n">
        <f aca="false">IF(OR(L277="Y",AND(G277&lt;&gt;"",COUNTIF('Do not contact'!$A$6:$A$505,G277)&gt;0)),1,0)</f>
        <v>0</v>
      </c>
    </row>
    <row r="278" customFormat="false" ht="27.75" hidden="false" customHeight="true" outlineLevel="0" collapsed="false">
      <c r="A278" s="38"/>
      <c r="B278" s="39"/>
      <c r="C278" s="38"/>
      <c r="D278" s="38"/>
      <c r="E278" s="38"/>
      <c r="F278" s="38"/>
      <c r="G278" s="38"/>
      <c r="H278" s="40"/>
      <c r="I278" s="38"/>
      <c r="J278" s="38"/>
      <c r="K278" s="38"/>
      <c r="L278" s="41"/>
      <c r="M278" s="42" t="str">
        <f aca="false">IF(C278="","",IF(W278=1,"NO – opted out. Do not email.",IF(I278="","Pick a contact type",IF(LEFT(I278,4)="Sole",IF(OR(LEFT(J278,7)="Consent",LEFT(J278,4)="Soft"),"Yes – add opt-out + privacy link",IF(LEFT(J278,8)="Contract","Reply about their enquiry only","NO – needs consent first (PECR)")),"Yes – add opt-out + privacy link"))))</f>
        <v/>
      </c>
      <c r="N278" s="38"/>
      <c r="O278" s="39"/>
      <c r="P278" s="38"/>
      <c r="Q278" s="39"/>
      <c r="R278" s="43" t="str">
        <f aca="false">IF(C278="","",IF(Q278&lt;&gt;"",Q278,IF(OR(W278=1,N278="Won",N278="Lost",N278="Parked"),"",IF(O278&lt;&gt;"",O278+Lists!$N$2,IF(B278&lt;&gt;"",B278+Lists!$N$2,"")))))</f>
        <v/>
      </c>
      <c r="S278" s="42" t="str">
        <f aca="true">IF(C278="","",IF(W278=1,"Grey – do not email",IF(N278="Won","Won",IF(OR(N278="Lost",N278="Parked"),"Closed",IF(R278="","Amber – add next action",IF(R278&lt;TODAY(),"Red – overdue",IF(R278=TODAY(),"Red – due today",IF(R278-TODAY()&lt;=Lists!$N$3,"Amber – due soon","Green – on track"))))))))</f>
        <v/>
      </c>
      <c r="T278" s="44"/>
      <c r="U278" s="38"/>
      <c r="V278" s="42" t="str">
        <f aca="true">IF(OR(C278="",W278=1,N278="Won",N278="Lost"),"",IF(ISNUMBER(R278),IF(R278&lt;=TODAY(),R278+ROW()/100000,""),""))</f>
        <v/>
      </c>
      <c r="W278" s="42" t="n">
        <f aca="false">IF(OR(L278="Y",AND(G278&lt;&gt;"",COUNTIF('Do not contact'!$A$6:$A$505,G278)&gt;0)),1,0)</f>
        <v>0</v>
      </c>
    </row>
    <row r="279" customFormat="false" ht="27.75" hidden="false" customHeight="true" outlineLevel="0" collapsed="false">
      <c r="A279" s="38"/>
      <c r="B279" s="39"/>
      <c r="C279" s="38"/>
      <c r="D279" s="38"/>
      <c r="E279" s="38"/>
      <c r="F279" s="38"/>
      <c r="G279" s="38"/>
      <c r="H279" s="40"/>
      <c r="I279" s="38"/>
      <c r="J279" s="38"/>
      <c r="K279" s="38"/>
      <c r="L279" s="41"/>
      <c r="M279" s="42" t="str">
        <f aca="false">IF(C279="","",IF(W279=1,"NO – opted out. Do not email.",IF(I279="","Pick a contact type",IF(LEFT(I279,4)="Sole",IF(OR(LEFT(J279,7)="Consent",LEFT(J279,4)="Soft"),"Yes – add opt-out + privacy link",IF(LEFT(J279,8)="Contract","Reply about their enquiry only","NO – needs consent first (PECR)")),"Yes – add opt-out + privacy link"))))</f>
        <v/>
      </c>
      <c r="N279" s="38"/>
      <c r="O279" s="39"/>
      <c r="P279" s="38"/>
      <c r="Q279" s="39"/>
      <c r="R279" s="43" t="str">
        <f aca="false">IF(C279="","",IF(Q279&lt;&gt;"",Q279,IF(OR(W279=1,N279="Won",N279="Lost",N279="Parked"),"",IF(O279&lt;&gt;"",O279+Lists!$N$2,IF(B279&lt;&gt;"",B279+Lists!$N$2,"")))))</f>
        <v/>
      </c>
      <c r="S279" s="42" t="str">
        <f aca="true">IF(C279="","",IF(W279=1,"Grey – do not email",IF(N279="Won","Won",IF(OR(N279="Lost",N279="Parked"),"Closed",IF(R279="","Amber – add next action",IF(R279&lt;TODAY(),"Red – overdue",IF(R279=TODAY(),"Red – due today",IF(R279-TODAY()&lt;=Lists!$N$3,"Amber – due soon","Green – on track"))))))))</f>
        <v/>
      </c>
      <c r="T279" s="44"/>
      <c r="U279" s="38"/>
      <c r="V279" s="42" t="str">
        <f aca="true">IF(OR(C279="",W279=1,N279="Won",N279="Lost"),"",IF(ISNUMBER(R279),IF(R279&lt;=TODAY(),R279+ROW()/100000,""),""))</f>
        <v/>
      </c>
      <c r="W279" s="42" t="n">
        <f aca="false">IF(OR(L279="Y",AND(G279&lt;&gt;"",COUNTIF('Do not contact'!$A$6:$A$505,G279)&gt;0)),1,0)</f>
        <v>0</v>
      </c>
    </row>
    <row r="280" customFormat="false" ht="27.75" hidden="false" customHeight="true" outlineLevel="0" collapsed="false">
      <c r="A280" s="38"/>
      <c r="B280" s="39"/>
      <c r="C280" s="38"/>
      <c r="D280" s="38"/>
      <c r="E280" s="38"/>
      <c r="F280" s="38"/>
      <c r="G280" s="38"/>
      <c r="H280" s="40"/>
      <c r="I280" s="38"/>
      <c r="J280" s="38"/>
      <c r="K280" s="38"/>
      <c r="L280" s="41"/>
      <c r="M280" s="42" t="str">
        <f aca="false">IF(C280="","",IF(W280=1,"NO – opted out. Do not email.",IF(I280="","Pick a contact type",IF(LEFT(I280,4)="Sole",IF(OR(LEFT(J280,7)="Consent",LEFT(J280,4)="Soft"),"Yes – add opt-out + privacy link",IF(LEFT(J280,8)="Contract","Reply about their enquiry only","NO – needs consent first (PECR)")),"Yes – add opt-out + privacy link"))))</f>
        <v/>
      </c>
      <c r="N280" s="38"/>
      <c r="O280" s="39"/>
      <c r="P280" s="38"/>
      <c r="Q280" s="39"/>
      <c r="R280" s="43" t="str">
        <f aca="false">IF(C280="","",IF(Q280&lt;&gt;"",Q280,IF(OR(W280=1,N280="Won",N280="Lost",N280="Parked"),"",IF(O280&lt;&gt;"",O280+Lists!$N$2,IF(B280&lt;&gt;"",B280+Lists!$N$2,"")))))</f>
        <v/>
      </c>
      <c r="S280" s="42" t="str">
        <f aca="true">IF(C280="","",IF(W280=1,"Grey – do not email",IF(N280="Won","Won",IF(OR(N280="Lost",N280="Parked"),"Closed",IF(R280="","Amber – add next action",IF(R280&lt;TODAY(),"Red – overdue",IF(R280=TODAY(),"Red – due today",IF(R280-TODAY()&lt;=Lists!$N$3,"Amber – due soon","Green – on track"))))))))</f>
        <v/>
      </c>
      <c r="T280" s="44"/>
      <c r="U280" s="38"/>
      <c r="V280" s="42" t="str">
        <f aca="true">IF(OR(C280="",W280=1,N280="Won",N280="Lost"),"",IF(ISNUMBER(R280),IF(R280&lt;=TODAY(),R280+ROW()/100000,""),""))</f>
        <v/>
      </c>
      <c r="W280" s="42" t="n">
        <f aca="false">IF(OR(L280="Y",AND(G280&lt;&gt;"",COUNTIF('Do not contact'!$A$6:$A$505,G280)&gt;0)),1,0)</f>
        <v>0</v>
      </c>
    </row>
    <row r="281" customFormat="false" ht="27.75" hidden="false" customHeight="true" outlineLevel="0" collapsed="false">
      <c r="A281" s="38"/>
      <c r="B281" s="39"/>
      <c r="C281" s="38"/>
      <c r="D281" s="38"/>
      <c r="E281" s="38"/>
      <c r="F281" s="38"/>
      <c r="G281" s="38"/>
      <c r="H281" s="40"/>
      <c r="I281" s="38"/>
      <c r="J281" s="38"/>
      <c r="K281" s="38"/>
      <c r="L281" s="41"/>
      <c r="M281" s="42" t="str">
        <f aca="false">IF(C281="","",IF(W281=1,"NO – opted out. Do not email.",IF(I281="","Pick a contact type",IF(LEFT(I281,4)="Sole",IF(OR(LEFT(J281,7)="Consent",LEFT(J281,4)="Soft"),"Yes – add opt-out + privacy link",IF(LEFT(J281,8)="Contract","Reply about their enquiry only","NO – needs consent first (PECR)")),"Yes – add opt-out + privacy link"))))</f>
        <v/>
      </c>
      <c r="N281" s="38"/>
      <c r="O281" s="39"/>
      <c r="P281" s="38"/>
      <c r="Q281" s="39"/>
      <c r="R281" s="43" t="str">
        <f aca="false">IF(C281="","",IF(Q281&lt;&gt;"",Q281,IF(OR(W281=1,N281="Won",N281="Lost",N281="Parked"),"",IF(O281&lt;&gt;"",O281+Lists!$N$2,IF(B281&lt;&gt;"",B281+Lists!$N$2,"")))))</f>
        <v/>
      </c>
      <c r="S281" s="42" t="str">
        <f aca="true">IF(C281="","",IF(W281=1,"Grey – do not email",IF(N281="Won","Won",IF(OR(N281="Lost",N281="Parked"),"Closed",IF(R281="","Amber – add next action",IF(R281&lt;TODAY(),"Red – overdue",IF(R281=TODAY(),"Red – due today",IF(R281-TODAY()&lt;=Lists!$N$3,"Amber – due soon","Green – on track"))))))))</f>
        <v/>
      </c>
      <c r="T281" s="44"/>
      <c r="U281" s="38"/>
      <c r="V281" s="42" t="str">
        <f aca="true">IF(OR(C281="",W281=1,N281="Won",N281="Lost"),"",IF(ISNUMBER(R281),IF(R281&lt;=TODAY(),R281+ROW()/100000,""),""))</f>
        <v/>
      </c>
      <c r="W281" s="42" t="n">
        <f aca="false">IF(OR(L281="Y",AND(G281&lt;&gt;"",COUNTIF('Do not contact'!$A$6:$A$505,G281)&gt;0)),1,0)</f>
        <v>0</v>
      </c>
    </row>
    <row r="282" customFormat="false" ht="27.75" hidden="false" customHeight="true" outlineLevel="0" collapsed="false">
      <c r="A282" s="38"/>
      <c r="B282" s="39"/>
      <c r="C282" s="38"/>
      <c r="D282" s="38"/>
      <c r="E282" s="38"/>
      <c r="F282" s="38"/>
      <c r="G282" s="38"/>
      <c r="H282" s="40"/>
      <c r="I282" s="38"/>
      <c r="J282" s="38"/>
      <c r="K282" s="38"/>
      <c r="L282" s="41"/>
      <c r="M282" s="42" t="str">
        <f aca="false">IF(C282="","",IF(W282=1,"NO – opted out. Do not email.",IF(I282="","Pick a contact type",IF(LEFT(I282,4)="Sole",IF(OR(LEFT(J282,7)="Consent",LEFT(J282,4)="Soft"),"Yes – add opt-out + privacy link",IF(LEFT(J282,8)="Contract","Reply about their enquiry only","NO – needs consent first (PECR)")),"Yes – add opt-out + privacy link"))))</f>
        <v/>
      </c>
      <c r="N282" s="38"/>
      <c r="O282" s="39"/>
      <c r="P282" s="38"/>
      <c r="Q282" s="39"/>
      <c r="R282" s="43" t="str">
        <f aca="false">IF(C282="","",IF(Q282&lt;&gt;"",Q282,IF(OR(W282=1,N282="Won",N282="Lost",N282="Parked"),"",IF(O282&lt;&gt;"",O282+Lists!$N$2,IF(B282&lt;&gt;"",B282+Lists!$N$2,"")))))</f>
        <v/>
      </c>
      <c r="S282" s="42" t="str">
        <f aca="true">IF(C282="","",IF(W282=1,"Grey – do not email",IF(N282="Won","Won",IF(OR(N282="Lost",N282="Parked"),"Closed",IF(R282="","Amber – add next action",IF(R282&lt;TODAY(),"Red – overdue",IF(R282=TODAY(),"Red – due today",IF(R282-TODAY()&lt;=Lists!$N$3,"Amber – due soon","Green – on track"))))))))</f>
        <v/>
      </c>
      <c r="T282" s="44"/>
      <c r="U282" s="38"/>
      <c r="V282" s="42" t="str">
        <f aca="true">IF(OR(C282="",W282=1,N282="Won",N282="Lost"),"",IF(ISNUMBER(R282),IF(R282&lt;=TODAY(),R282+ROW()/100000,""),""))</f>
        <v/>
      </c>
      <c r="W282" s="42" t="n">
        <f aca="false">IF(OR(L282="Y",AND(G282&lt;&gt;"",COUNTIF('Do not contact'!$A$6:$A$505,G282)&gt;0)),1,0)</f>
        <v>0</v>
      </c>
    </row>
    <row r="283" customFormat="false" ht="27.75" hidden="false" customHeight="true" outlineLevel="0" collapsed="false">
      <c r="A283" s="38"/>
      <c r="B283" s="39"/>
      <c r="C283" s="38"/>
      <c r="D283" s="38"/>
      <c r="E283" s="38"/>
      <c r="F283" s="38"/>
      <c r="G283" s="38"/>
      <c r="H283" s="40"/>
      <c r="I283" s="38"/>
      <c r="J283" s="38"/>
      <c r="K283" s="38"/>
      <c r="L283" s="41"/>
      <c r="M283" s="42" t="str">
        <f aca="false">IF(C283="","",IF(W283=1,"NO – opted out. Do not email.",IF(I283="","Pick a contact type",IF(LEFT(I283,4)="Sole",IF(OR(LEFT(J283,7)="Consent",LEFT(J283,4)="Soft"),"Yes – add opt-out + privacy link",IF(LEFT(J283,8)="Contract","Reply about their enquiry only","NO – needs consent first (PECR)")),"Yes – add opt-out + privacy link"))))</f>
        <v/>
      </c>
      <c r="N283" s="38"/>
      <c r="O283" s="39"/>
      <c r="P283" s="38"/>
      <c r="Q283" s="39"/>
      <c r="R283" s="43" t="str">
        <f aca="false">IF(C283="","",IF(Q283&lt;&gt;"",Q283,IF(OR(W283=1,N283="Won",N283="Lost",N283="Parked"),"",IF(O283&lt;&gt;"",O283+Lists!$N$2,IF(B283&lt;&gt;"",B283+Lists!$N$2,"")))))</f>
        <v/>
      </c>
      <c r="S283" s="42" t="str">
        <f aca="true">IF(C283="","",IF(W283=1,"Grey – do not email",IF(N283="Won","Won",IF(OR(N283="Lost",N283="Parked"),"Closed",IF(R283="","Amber – add next action",IF(R283&lt;TODAY(),"Red – overdue",IF(R283=TODAY(),"Red – due today",IF(R283-TODAY()&lt;=Lists!$N$3,"Amber – due soon","Green – on track"))))))))</f>
        <v/>
      </c>
      <c r="T283" s="44"/>
      <c r="U283" s="38"/>
      <c r="V283" s="42" t="str">
        <f aca="true">IF(OR(C283="",W283=1,N283="Won",N283="Lost"),"",IF(ISNUMBER(R283),IF(R283&lt;=TODAY(),R283+ROW()/100000,""),""))</f>
        <v/>
      </c>
      <c r="W283" s="42" t="n">
        <f aca="false">IF(OR(L283="Y",AND(G283&lt;&gt;"",COUNTIF('Do not contact'!$A$6:$A$505,G283)&gt;0)),1,0)</f>
        <v>0</v>
      </c>
    </row>
    <row r="284" customFormat="false" ht="27.75" hidden="false" customHeight="true" outlineLevel="0" collapsed="false">
      <c r="A284" s="38"/>
      <c r="B284" s="39"/>
      <c r="C284" s="38"/>
      <c r="D284" s="38"/>
      <c r="E284" s="38"/>
      <c r="F284" s="38"/>
      <c r="G284" s="38"/>
      <c r="H284" s="40"/>
      <c r="I284" s="38"/>
      <c r="J284" s="38"/>
      <c r="K284" s="38"/>
      <c r="L284" s="41"/>
      <c r="M284" s="42" t="str">
        <f aca="false">IF(C284="","",IF(W284=1,"NO – opted out. Do not email.",IF(I284="","Pick a contact type",IF(LEFT(I284,4)="Sole",IF(OR(LEFT(J284,7)="Consent",LEFT(J284,4)="Soft"),"Yes – add opt-out + privacy link",IF(LEFT(J284,8)="Contract","Reply about their enquiry only","NO – needs consent first (PECR)")),"Yes – add opt-out + privacy link"))))</f>
        <v/>
      </c>
      <c r="N284" s="38"/>
      <c r="O284" s="39"/>
      <c r="P284" s="38"/>
      <c r="Q284" s="39"/>
      <c r="R284" s="43" t="str">
        <f aca="false">IF(C284="","",IF(Q284&lt;&gt;"",Q284,IF(OR(W284=1,N284="Won",N284="Lost",N284="Parked"),"",IF(O284&lt;&gt;"",O284+Lists!$N$2,IF(B284&lt;&gt;"",B284+Lists!$N$2,"")))))</f>
        <v/>
      </c>
      <c r="S284" s="42" t="str">
        <f aca="true">IF(C284="","",IF(W284=1,"Grey – do not email",IF(N284="Won","Won",IF(OR(N284="Lost",N284="Parked"),"Closed",IF(R284="","Amber – add next action",IF(R284&lt;TODAY(),"Red – overdue",IF(R284=TODAY(),"Red – due today",IF(R284-TODAY()&lt;=Lists!$N$3,"Amber – due soon","Green – on track"))))))))</f>
        <v/>
      </c>
      <c r="T284" s="44"/>
      <c r="U284" s="38"/>
      <c r="V284" s="42" t="str">
        <f aca="true">IF(OR(C284="",W284=1,N284="Won",N284="Lost"),"",IF(ISNUMBER(R284),IF(R284&lt;=TODAY(),R284+ROW()/100000,""),""))</f>
        <v/>
      </c>
      <c r="W284" s="42" t="n">
        <f aca="false">IF(OR(L284="Y",AND(G284&lt;&gt;"",COUNTIF('Do not contact'!$A$6:$A$505,G284)&gt;0)),1,0)</f>
        <v>0</v>
      </c>
    </row>
    <row r="285" customFormat="false" ht="27.75" hidden="false" customHeight="true" outlineLevel="0" collapsed="false">
      <c r="A285" s="38"/>
      <c r="B285" s="39"/>
      <c r="C285" s="38"/>
      <c r="D285" s="38"/>
      <c r="E285" s="38"/>
      <c r="F285" s="38"/>
      <c r="G285" s="38"/>
      <c r="H285" s="40"/>
      <c r="I285" s="38"/>
      <c r="J285" s="38"/>
      <c r="K285" s="38"/>
      <c r="L285" s="41"/>
      <c r="M285" s="42" t="str">
        <f aca="false">IF(C285="","",IF(W285=1,"NO – opted out. Do not email.",IF(I285="","Pick a contact type",IF(LEFT(I285,4)="Sole",IF(OR(LEFT(J285,7)="Consent",LEFT(J285,4)="Soft"),"Yes – add opt-out + privacy link",IF(LEFT(J285,8)="Contract","Reply about their enquiry only","NO – needs consent first (PECR)")),"Yes – add opt-out + privacy link"))))</f>
        <v/>
      </c>
      <c r="N285" s="38"/>
      <c r="O285" s="39"/>
      <c r="P285" s="38"/>
      <c r="Q285" s="39"/>
      <c r="R285" s="43" t="str">
        <f aca="false">IF(C285="","",IF(Q285&lt;&gt;"",Q285,IF(OR(W285=1,N285="Won",N285="Lost",N285="Parked"),"",IF(O285&lt;&gt;"",O285+Lists!$N$2,IF(B285&lt;&gt;"",B285+Lists!$N$2,"")))))</f>
        <v/>
      </c>
      <c r="S285" s="42" t="str">
        <f aca="true">IF(C285="","",IF(W285=1,"Grey – do not email",IF(N285="Won","Won",IF(OR(N285="Lost",N285="Parked"),"Closed",IF(R285="","Amber – add next action",IF(R285&lt;TODAY(),"Red – overdue",IF(R285=TODAY(),"Red – due today",IF(R285-TODAY()&lt;=Lists!$N$3,"Amber – due soon","Green – on track"))))))))</f>
        <v/>
      </c>
      <c r="T285" s="44"/>
      <c r="U285" s="38"/>
      <c r="V285" s="42" t="str">
        <f aca="true">IF(OR(C285="",W285=1,N285="Won",N285="Lost"),"",IF(ISNUMBER(R285),IF(R285&lt;=TODAY(),R285+ROW()/100000,""),""))</f>
        <v/>
      </c>
      <c r="W285" s="42" t="n">
        <f aca="false">IF(OR(L285="Y",AND(G285&lt;&gt;"",COUNTIF('Do not contact'!$A$6:$A$505,G285)&gt;0)),1,0)</f>
        <v>0</v>
      </c>
    </row>
    <row r="286" customFormat="false" ht="27.75" hidden="false" customHeight="true" outlineLevel="0" collapsed="false">
      <c r="A286" s="38"/>
      <c r="B286" s="39"/>
      <c r="C286" s="38"/>
      <c r="D286" s="38"/>
      <c r="E286" s="38"/>
      <c r="F286" s="38"/>
      <c r="G286" s="38"/>
      <c r="H286" s="40"/>
      <c r="I286" s="38"/>
      <c r="J286" s="38"/>
      <c r="K286" s="38"/>
      <c r="L286" s="41"/>
      <c r="M286" s="42" t="str">
        <f aca="false">IF(C286="","",IF(W286=1,"NO – opted out. Do not email.",IF(I286="","Pick a contact type",IF(LEFT(I286,4)="Sole",IF(OR(LEFT(J286,7)="Consent",LEFT(J286,4)="Soft"),"Yes – add opt-out + privacy link",IF(LEFT(J286,8)="Contract","Reply about their enquiry only","NO – needs consent first (PECR)")),"Yes – add opt-out + privacy link"))))</f>
        <v/>
      </c>
      <c r="N286" s="38"/>
      <c r="O286" s="39"/>
      <c r="P286" s="38"/>
      <c r="Q286" s="39"/>
      <c r="R286" s="43" t="str">
        <f aca="false">IF(C286="","",IF(Q286&lt;&gt;"",Q286,IF(OR(W286=1,N286="Won",N286="Lost",N286="Parked"),"",IF(O286&lt;&gt;"",O286+Lists!$N$2,IF(B286&lt;&gt;"",B286+Lists!$N$2,"")))))</f>
        <v/>
      </c>
      <c r="S286" s="42" t="str">
        <f aca="true">IF(C286="","",IF(W286=1,"Grey – do not email",IF(N286="Won","Won",IF(OR(N286="Lost",N286="Parked"),"Closed",IF(R286="","Amber – add next action",IF(R286&lt;TODAY(),"Red – overdue",IF(R286=TODAY(),"Red – due today",IF(R286-TODAY()&lt;=Lists!$N$3,"Amber – due soon","Green – on track"))))))))</f>
        <v/>
      </c>
      <c r="T286" s="44"/>
      <c r="U286" s="38"/>
      <c r="V286" s="42" t="str">
        <f aca="true">IF(OR(C286="",W286=1,N286="Won",N286="Lost"),"",IF(ISNUMBER(R286),IF(R286&lt;=TODAY(),R286+ROW()/100000,""),""))</f>
        <v/>
      </c>
      <c r="W286" s="42" t="n">
        <f aca="false">IF(OR(L286="Y",AND(G286&lt;&gt;"",COUNTIF('Do not contact'!$A$6:$A$505,G286)&gt;0)),1,0)</f>
        <v>0</v>
      </c>
    </row>
    <row r="287" customFormat="false" ht="27.75" hidden="false" customHeight="true" outlineLevel="0" collapsed="false">
      <c r="A287" s="38"/>
      <c r="B287" s="39"/>
      <c r="C287" s="38"/>
      <c r="D287" s="38"/>
      <c r="E287" s="38"/>
      <c r="F287" s="38"/>
      <c r="G287" s="38"/>
      <c r="H287" s="40"/>
      <c r="I287" s="38"/>
      <c r="J287" s="38"/>
      <c r="K287" s="38"/>
      <c r="L287" s="41"/>
      <c r="M287" s="42" t="str">
        <f aca="false">IF(C287="","",IF(W287=1,"NO – opted out. Do not email.",IF(I287="","Pick a contact type",IF(LEFT(I287,4)="Sole",IF(OR(LEFT(J287,7)="Consent",LEFT(J287,4)="Soft"),"Yes – add opt-out + privacy link",IF(LEFT(J287,8)="Contract","Reply about their enquiry only","NO – needs consent first (PECR)")),"Yes – add opt-out + privacy link"))))</f>
        <v/>
      </c>
      <c r="N287" s="38"/>
      <c r="O287" s="39"/>
      <c r="P287" s="38"/>
      <c r="Q287" s="39"/>
      <c r="R287" s="43" t="str">
        <f aca="false">IF(C287="","",IF(Q287&lt;&gt;"",Q287,IF(OR(W287=1,N287="Won",N287="Lost",N287="Parked"),"",IF(O287&lt;&gt;"",O287+Lists!$N$2,IF(B287&lt;&gt;"",B287+Lists!$N$2,"")))))</f>
        <v/>
      </c>
      <c r="S287" s="42" t="str">
        <f aca="true">IF(C287="","",IF(W287=1,"Grey – do not email",IF(N287="Won","Won",IF(OR(N287="Lost",N287="Parked"),"Closed",IF(R287="","Amber – add next action",IF(R287&lt;TODAY(),"Red – overdue",IF(R287=TODAY(),"Red – due today",IF(R287-TODAY()&lt;=Lists!$N$3,"Amber – due soon","Green – on track"))))))))</f>
        <v/>
      </c>
      <c r="T287" s="44"/>
      <c r="U287" s="38"/>
      <c r="V287" s="42" t="str">
        <f aca="true">IF(OR(C287="",W287=1,N287="Won",N287="Lost"),"",IF(ISNUMBER(R287),IF(R287&lt;=TODAY(),R287+ROW()/100000,""),""))</f>
        <v/>
      </c>
      <c r="W287" s="42" t="n">
        <f aca="false">IF(OR(L287="Y",AND(G287&lt;&gt;"",COUNTIF('Do not contact'!$A$6:$A$505,G287)&gt;0)),1,0)</f>
        <v>0</v>
      </c>
    </row>
    <row r="288" customFormat="false" ht="27.75" hidden="false" customHeight="true" outlineLevel="0" collapsed="false">
      <c r="A288" s="38"/>
      <c r="B288" s="39"/>
      <c r="C288" s="38"/>
      <c r="D288" s="38"/>
      <c r="E288" s="38"/>
      <c r="F288" s="38"/>
      <c r="G288" s="38"/>
      <c r="H288" s="40"/>
      <c r="I288" s="38"/>
      <c r="J288" s="38"/>
      <c r="K288" s="38"/>
      <c r="L288" s="41"/>
      <c r="M288" s="42" t="str">
        <f aca="false">IF(C288="","",IF(W288=1,"NO – opted out. Do not email.",IF(I288="","Pick a contact type",IF(LEFT(I288,4)="Sole",IF(OR(LEFT(J288,7)="Consent",LEFT(J288,4)="Soft"),"Yes – add opt-out + privacy link",IF(LEFT(J288,8)="Contract","Reply about their enquiry only","NO – needs consent first (PECR)")),"Yes – add opt-out + privacy link"))))</f>
        <v/>
      </c>
      <c r="N288" s="38"/>
      <c r="O288" s="39"/>
      <c r="P288" s="38"/>
      <c r="Q288" s="39"/>
      <c r="R288" s="43" t="str">
        <f aca="false">IF(C288="","",IF(Q288&lt;&gt;"",Q288,IF(OR(W288=1,N288="Won",N288="Lost",N288="Parked"),"",IF(O288&lt;&gt;"",O288+Lists!$N$2,IF(B288&lt;&gt;"",B288+Lists!$N$2,"")))))</f>
        <v/>
      </c>
      <c r="S288" s="42" t="str">
        <f aca="true">IF(C288="","",IF(W288=1,"Grey – do not email",IF(N288="Won","Won",IF(OR(N288="Lost",N288="Parked"),"Closed",IF(R288="","Amber – add next action",IF(R288&lt;TODAY(),"Red – overdue",IF(R288=TODAY(),"Red – due today",IF(R288-TODAY()&lt;=Lists!$N$3,"Amber – due soon","Green – on track"))))))))</f>
        <v/>
      </c>
      <c r="T288" s="44"/>
      <c r="U288" s="38"/>
      <c r="V288" s="42" t="str">
        <f aca="true">IF(OR(C288="",W288=1,N288="Won",N288="Lost"),"",IF(ISNUMBER(R288),IF(R288&lt;=TODAY(),R288+ROW()/100000,""),""))</f>
        <v/>
      </c>
      <c r="W288" s="42" t="n">
        <f aca="false">IF(OR(L288="Y",AND(G288&lt;&gt;"",COUNTIF('Do not contact'!$A$6:$A$505,G288)&gt;0)),1,0)</f>
        <v>0</v>
      </c>
    </row>
    <row r="289" customFormat="false" ht="27.75" hidden="false" customHeight="true" outlineLevel="0" collapsed="false">
      <c r="A289" s="38"/>
      <c r="B289" s="39"/>
      <c r="C289" s="38"/>
      <c r="D289" s="38"/>
      <c r="E289" s="38"/>
      <c r="F289" s="38"/>
      <c r="G289" s="38"/>
      <c r="H289" s="40"/>
      <c r="I289" s="38"/>
      <c r="J289" s="38"/>
      <c r="K289" s="38"/>
      <c r="L289" s="41"/>
      <c r="M289" s="42" t="str">
        <f aca="false">IF(C289="","",IF(W289=1,"NO – opted out. Do not email.",IF(I289="","Pick a contact type",IF(LEFT(I289,4)="Sole",IF(OR(LEFT(J289,7)="Consent",LEFT(J289,4)="Soft"),"Yes – add opt-out + privacy link",IF(LEFT(J289,8)="Contract","Reply about their enquiry only","NO – needs consent first (PECR)")),"Yes – add opt-out + privacy link"))))</f>
        <v/>
      </c>
      <c r="N289" s="38"/>
      <c r="O289" s="39"/>
      <c r="P289" s="38"/>
      <c r="Q289" s="39"/>
      <c r="R289" s="43" t="str">
        <f aca="false">IF(C289="","",IF(Q289&lt;&gt;"",Q289,IF(OR(W289=1,N289="Won",N289="Lost",N289="Parked"),"",IF(O289&lt;&gt;"",O289+Lists!$N$2,IF(B289&lt;&gt;"",B289+Lists!$N$2,"")))))</f>
        <v/>
      </c>
      <c r="S289" s="42" t="str">
        <f aca="true">IF(C289="","",IF(W289=1,"Grey – do not email",IF(N289="Won","Won",IF(OR(N289="Lost",N289="Parked"),"Closed",IF(R289="","Amber – add next action",IF(R289&lt;TODAY(),"Red – overdue",IF(R289=TODAY(),"Red – due today",IF(R289-TODAY()&lt;=Lists!$N$3,"Amber – due soon","Green – on track"))))))))</f>
        <v/>
      </c>
      <c r="T289" s="44"/>
      <c r="U289" s="38"/>
      <c r="V289" s="42" t="str">
        <f aca="true">IF(OR(C289="",W289=1,N289="Won",N289="Lost"),"",IF(ISNUMBER(R289),IF(R289&lt;=TODAY(),R289+ROW()/100000,""),""))</f>
        <v/>
      </c>
      <c r="W289" s="42" t="n">
        <f aca="false">IF(OR(L289="Y",AND(G289&lt;&gt;"",COUNTIF('Do not contact'!$A$6:$A$505,G289)&gt;0)),1,0)</f>
        <v>0</v>
      </c>
    </row>
    <row r="290" customFormat="false" ht="27.75" hidden="false" customHeight="true" outlineLevel="0" collapsed="false">
      <c r="A290" s="38"/>
      <c r="B290" s="39"/>
      <c r="C290" s="38"/>
      <c r="D290" s="38"/>
      <c r="E290" s="38"/>
      <c r="F290" s="38"/>
      <c r="G290" s="38"/>
      <c r="H290" s="40"/>
      <c r="I290" s="38"/>
      <c r="J290" s="38"/>
      <c r="K290" s="38"/>
      <c r="L290" s="41"/>
      <c r="M290" s="42" t="str">
        <f aca="false">IF(C290="","",IF(W290=1,"NO – opted out. Do not email.",IF(I290="","Pick a contact type",IF(LEFT(I290,4)="Sole",IF(OR(LEFT(J290,7)="Consent",LEFT(J290,4)="Soft"),"Yes – add opt-out + privacy link",IF(LEFT(J290,8)="Contract","Reply about their enquiry only","NO – needs consent first (PECR)")),"Yes – add opt-out + privacy link"))))</f>
        <v/>
      </c>
      <c r="N290" s="38"/>
      <c r="O290" s="39"/>
      <c r="P290" s="38"/>
      <c r="Q290" s="39"/>
      <c r="R290" s="43" t="str">
        <f aca="false">IF(C290="","",IF(Q290&lt;&gt;"",Q290,IF(OR(W290=1,N290="Won",N290="Lost",N290="Parked"),"",IF(O290&lt;&gt;"",O290+Lists!$N$2,IF(B290&lt;&gt;"",B290+Lists!$N$2,"")))))</f>
        <v/>
      </c>
      <c r="S290" s="42" t="str">
        <f aca="true">IF(C290="","",IF(W290=1,"Grey – do not email",IF(N290="Won","Won",IF(OR(N290="Lost",N290="Parked"),"Closed",IF(R290="","Amber – add next action",IF(R290&lt;TODAY(),"Red – overdue",IF(R290=TODAY(),"Red – due today",IF(R290-TODAY()&lt;=Lists!$N$3,"Amber – due soon","Green – on track"))))))))</f>
        <v/>
      </c>
      <c r="T290" s="44"/>
      <c r="U290" s="38"/>
      <c r="V290" s="42" t="str">
        <f aca="true">IF(OR(C290="",W290=1,N290="Won",N290="Lost"),"",IF(ISNUMBER(R290),IF(R290&lt;=TODAY(),R290+ROW()/100000,""),""))</f>
        <v/>
      </c>
      <c r="W290" s="42" t="n">
        <f aca="false">IF(OR(L290="Y",AND(G290&lt;&gt;"",COUNTIF('Do not contact'!$A$6:$A$505,G290)&gt;0)),1,0)</f>
        <v>0</v>
      </c>
    </row>
    <row r="291" customFormat="false" ht="27.75" hidden="false" customHeight="true" outlineLevel="0" collapsed="false">
      <c r="A291" s="38"/>
      <c r="B291" s="39"/>
      <c r="C291" s="38"/>
      <c r="D291" s="38"/>
      <c r="E291" s="38"/>
      <c r="F291" s="38"/>
      <c r="G291" s="38"/>
      <c r="H291" s="40"/>
      <c r="I291" s="38"/>
      <c r="J291" s="38"/>
      <c r="K291" s="38"/>
      <c r="L291" s="41"/>
      <c r="M291" s="42" t="str">
        <f aca="false">IF(C291="","",IF(W291=1,"NO – opted out. Do not email.",IF(I291="","Pick a contact type",IF(LEFT(I291,4)="Sole",IF(OR(LEFT(J291,7)="Consent",LEFT(J291,4)="Soft"),"Yes – add opt-out + privacy link",IF(LEFT(J291,8)="Contract","Reply about their enquiry only","NO – needs consent first (PECR)")),"Yes – add opt-out + privacy link"))))</f>
        <v/>
      </c>
      <c r="N291" s="38"/>
      <c r="O291" s="39"/>
      <c r="P291" s="38"/>
      <c r="Q291" s="39"/>
      <c r="R291" s="43" t="str">
        <f aca="false">IF(C291="","",IF(Q291&lt;&gt;"",Q291,IF(OR(W291=1,N291="Won",N291="Lost",N291="Parked"),"",IF(O291&lt;&gt;"",O291+Lists!$N$2,IF(B291&lt;&gt;"",B291+Lists!$N$2,"")))))</f>
        <v/>
      </c>
      <c r="S291" s="42" t="str">
        <f aca="true">IF(C291="","",IF(W291=1,"Grey – do not email",IF(N291="Won","Won",IF(OR(N291="Lost",N291="Parked"),"Closed",IF(R291="","Amber – add next action",IF(R291&lt;TODAY(),"Red – overdue",IF(R291=TODAY(),"Red – due today",IF(R291-TODAY()&lt;=Lists!$N$3,"Amber – due soon","Green – on track"))))))))</f>
        <v/>
      </c>
      <c r="T291" s="44"/>
      <c r="U291" s="38"/>
      <c r="V291" s="42" t="str">
        <f aca="true">IF(OR(C291="",W291=1,N291="Won",N291="Lost"),"",IF(ISNUMBER(R291),IF(R291&lt;=TODAY(),R291+ROW()/100000,""),""))</f>
        <v/>
      </c>
      <c r="W291" s="42" t="n">
        <f aca="false">IF(OR(L291="Y",AND(G291&lt;&gt;"",COUNTIF('Do not contact'!$A$6:$A$505,G291)&gt;0)),1,0)</f>
        <v>0</v>
      </c>
    </row>
    <row r="292" customFormat="false" ht="27.75" hidden="false" customHeight="true" outlineLevel="0" collapsed="false">
      <c r="A292" s="38"/>
      <c r="B292" s="39"/>
      <c r="C292" s="38"/>
      <c r="D292" s="38"/>
      <c r="E292" s="38"/>
      <c r="F292" s="38"/>
      <c r="G292" s="38"/>
      <c r="H292" s="40"/>
      <c r="I292" s="38"/>
      <c r="J292" s="38"/>
      <c r="K292" s="38"/>
      <c r="L292" s="41"/>
      <c r="M292" s="42" t="str">
        <f aca="false">IF(C292="","",IF(W292=1,"NO – opted out. Do not email.",IF(I292="","Pick a contact type",IF(LEFT(I292,4)="Sole",IF(OR(LEFT(J292,7)="Consent",LEFT(J292,4)="Soft"),"Yes – add opt-out + privacy link",IF(LEFT(J292,8)="Contract","Reply about their enquiry only","NO – needs consent first (PECR)")),"Yes – add opt-out + privacy link"))))</f>
        <v/>
      </c>
      <c r="N292" s="38"/>
      <c r="O292" s="39"/>
      <c r="P292" s="38"/>
      <c r="Q292" s="39"/>
      <c r="R292" s="43" t="str">
        <f aca="false">IF(C292="","",IF(Q292&lt;&gt;"",Q292,IF(OR(W292=1,N292="Won",N292="Lost",N292="Parked"),"",IF(O292&lt;&gt;"",O292+Lists!$N$2,IF(B292&lt;&gt;"",B292+Lists!$N$2,"")))))</f>
        <v/>
      </c>
      <c r="S292" s="42" t="str">
        <f aca="true">IF(C292="","",IF(W292=1,"Grey – do not email",IF(N292="Won","Won",IF(OR(N292="Lost",N292="Parked"),"Closed",IF(R292="","Amber – add next action",IF(R292&lt;TODAY(),"Red – overdue",IF(R292=TODAY(),"Red – due today",IF(R292-TODAY()&lt;=Lists!$N$3,"Amber – due soon","Green – on track"))))))))</f>
        <v/>
      </c>
      <c r="T292" s="44"/>
      <c r="U292" s="38"/>
      <c r="V292" s="42" t="str">
        <f aca="true">IF(OR(C292="",W292=1,N292="Won",N292="Lost"),"",IF(ISNUMBER(R292),IF(R292&lt;=TODAY(),R292+ROW()/100000,""),""))</f>
        <v/>
      </c>
      <c r="W292" s="42" t="n">
        <f aca="false">IF(OR(L292="Y",AND(G292&lt;&gt;"",COUNTIF('Do not contact'!$A$6:$A$505,G292)&gt;0)),1,0)</f>
        <v>0</v>
      </c>
    </row>
    <row r="293" customFormat="false" ht="27.75" hidden="false" customHeight="true" outlineLevel="0" collapsed="false">
      <c r="A293" s="38"/>
      <c r="B293" s="39"/>
      <c r="C293" s="38"/>
      <c r="D293" s="38"/>
      <c r="E293" s="38"/>
      <c r="F293" s="38"/>
      <c r="G293" s="38"/>
      <c r="H293" s="40"/>
      <c r="I293" s="38"/>
      <c r="J293" s="38"/>
      <c r="K293" s="38"/>
      <c r="L293" s="41"/>
      <c r="M293" s="42" t="str">
        <f aca="false">IF(C293="","",IF(W293=1,"NO – opted out. Do not email.",IF(I293="","Pick a contact type",IF(LEFT(I293,4)="Sole",IF(OR(LEFT(J293,7)="Consent",LEFT(J293,4)="Soft"),"Yes – add opt-out + privacy link",IF(LEFT(J293,8)="Contract","Reply about their enquiry only","NO – needs consent first (PECR)")),"Yes – add opt-out + privacy link"))))</f>
        <v/>
      </c>
      <c r="N293" s="38"/>
      <c r="O293" s="39"/>
      <c r="P293" s="38"/>
      <c r="Q293" s="39"/>
      <c r="R293" s="43" t="str">
        <f aca="false">IF(C293="","",IF(Q293&lt;&gt;"",Q293,IF(OR(W293=1,N293="Won",N293="Lost",N293="Parked"),"",IF(O293&lt;&gt;"",O293+Lists!$N$2,IF(B293&lt;&gt;"",B293+Lists!$N$2,"")))))</f>
        <v/>
      </c>
      <c r="S293" s="42" t="str">
        <f aca="true">IF(C293="","",IF(W293=1,"Grey – do not email",IF(N293="Won","Won",IF(OR(N293="Lost",N293="Parked"),"Closed",IF(R293="","Amber – add next action",IF(R293&lt;TODAY(),"Red – overdue",IF(R293=TODAY(),"Red – due today",IF(R293-TODAY()&lt;=Lists!$N$3,"Amber – due soon","Green – on track"))))))))</f>
        <v/>
      </c>
      <c r="T293" s="44"/>
      <c r="U293" s="38"/>
      <c r="V293" s="42" t="str">
        <f aca="true">IF(OR(C293="",W293=1,N293="Won",N293="Lost"),"",IF(ISNUMBER(R293),IF(R293&lt;=TODAY(),R293+ROW()/100000,""),""))</f>
        <v/>
      </c>
      <c r="W293" s="42" t="n">
        <f aca="false">IF(OR(L293="Y",AND(G293&lt;&gt;"",COUNTIF('Do not contact'!$A$6:$A$505,G293)&gt;0)),1,0)</f>
        <v>0</v>
      </c>
    </row>
    <row r="294" customFormat="false" ht="27.75" hidden="false" customHeight="true" outlineLevel="0" collapsed="false">
      <c r="A294" s="38"/>
      <c r="B294" s="39"/>
      <c r="C294" s="38"/>
      <c r="D294" s="38"/>
      <c r="E294" s="38"/>
      <c r="F294" s="38"/>
      <c r="G294" s="38"/>
      <c r="H294" s="40"/>
      <c r="I294" s="38"/>
      <c r="J294" s="38"/>
      <c r="K294" s="38"/>
      <c r="L294" s="41"/>
      <c r="M294" s="42" t="str">
        <f aca="false">IF(C294="","",IF(W294=1,"NO – opted out. Do not email.",IF(I294="","Pick a contact type",IF(LEFT(I294,4)="Sole",IF(OR(LEFT(J294,7)="Consent",LEFT(J294,4)="Soft"),"Yes – add opt-out + privacy link",IF(LEFT(J294,8)="Contract","Reply about their enquiry only","NO – needs consent first (PECR)")),"Yes – add opt-out + privacy link"))))</f>
        <v/>
      </c>
      <c r="N294" s="38"/>
      <c r="O294" s="39"/>
      <c r="P294" s="38"/>
      <c r="Q294" s="39"/>
      <c r="R294" s="43" t="str">
        <f aca="false">IF(C294="","",IF(Q294&lt;&gt;"",Q294,IF(OR(W294=1,N294="Won",N294="Lost",N294="Parked"),"",IF(O294&lt;&gt;"",O294+Lists!$N$2,IF(B294&lt;&gt;"",B294+Lists!$N$2,"")))))</f>
        <v/>
      </c>
      <c r="S294" s="42" t="str">
        <f aca="true">IF(C294="","",IF(W294=1,"Grey – do not email",IF(N294="Won","Won",IF(OR(N294="Lost",N294="Parked"),"Closed",IF(R294="","Amber – add next action",IF(R294&lt;TODAY(),"Red – overdue",IF(R294=TODAY(),"Red – due today",IF(R294-TODAY()&lt;=Lists!$N$3,"Amber – due soon","Green – on track"))))))))</f>
        <v/>
      </c>
      <c r="T294" s="44"/>
      <c r="U294" s="38"/>
      <c r="V294" s="42" t="str">
        <f aca="true">IF(OR(C294="",W294=1,N294="Won",N294="Lost"),"",IF(ISNUMBER(R294),IF(R294&lt;=TODAY(),R294+ROW()/100000,""),""))</f>
        <v/>
      </c>
      <c r="W294" s="42" t="n">
        <f aca="false">IF(OR(L294="Y",AND(G294&lt;&gt;"",COUNTIF('Do not contact'!$A$6:$A$505,G294)&gt;0)),1,0)</f>
        <v>0</v>
      </c>
    </row>
    <row r="295" customFormat="false" ht="27.75" hidden="false" customHeight="true" outlineLevel="0" collapsed="false">
      <c r="A295" s="38"/>
      <c r="B295" s="39"/>
      <c r="C295" s="38"/>
      <c r="D295" s="38"/>
      <c r="E295" s="38"/>
      <c r="F295" s="38"/>
      <c r="G295" s="38"/>
      <c r="H295" s="40"/>
      <c r="I295" s="38"/>
      <c r="J295" s="38"/>
      <c r="K295" s="38"/>
      <c r="L295" s="41"/>
      <c r="M295" s="42" t="str">
        <f aca="false">IF(C295="","",IF(W295=1,"NO – opted out. Do not email.",IF(I295="","Pick a contact type",IF(LEFT(I295,4)="Sole",IF(OR(LEFT(J295,7)="Consent",LEFT(J295,4)="Soft"),"Yes – add opt-out + privacy link",IF(LEFT(J295,8)="Contract","Reply about their enquiry only","NO – needs consent first (PECR)")),"Yes – add opt-out + privacy link"))))</f>
        <v/>
      </c>
      <c r="N295" s="38"/>
      <c r="O295" s="39"/>
      <c r="P295" s="38"/>
      <c r="Q295" s="39"/>
      <c r="R295" s="43" t="str">
        <f aca="false">IF(C295="","",IF(Q295&lt;&gt;"",Q295,IF(OR(W295=1,N295="Won",N295="Lost",N295="Parked"),"",IF(O295&lt;&gt;"",O295+Lists!$N$2,IF(B295&lt;&gt;"",B295+Lists!$N$2,"")))))</f>
        <v/>
      </c>
      <c r="S295" s="42" t="str">
        <f aca="true">IF(C295="","",IF(W295=1,"Grey – do not email",IF(N295="Won","Won",IF(OR(N295="Lost",N295="Parked"),"Closed",IF(R295="","Amber – add next action",IF(R295&lt;TODAY(),"Red – overdue",IF(R295=TODAY(),"Red – due today",IF(R295-TODAY()&lt;=Lists!$N$3,"Amber – due soon","Green – on track"))))))))</f>
        <v/>
      </c>
      <c r="T295" s="44"/>
      <c r="U295" s="38"/>
      <c r="V295" s="42" t="str">
        <f aca="true">IF(OR(C295="",W295=1,N295="Won",N295="Lost"),"",IF(ISNUMBER(R295),IF(R295&lt;=TODAY(),R295+ROW()/100000,""),""))</f>
        <v/>
      </c>
      <c r="W295" s="42" t="n">
        <f aca="false">IF(OR(L295="Y",AND(G295&lt;&gt;"",COUNTIF('Do not contact'!$A$6:$A$505,G295)&gt;0)),1,0)</f>
        <v>0</v>
      </c>
    </row>
    <row r="296" customFormat="false" ht="27.75" hidden="false" customHeight="true" outlineLevel="0" collapsed="false">
      <c r="A296" s="38"/>
      <c r="B296" s="39"/>
      <c r="C296" s="38"/>
      <c r="D296" s="38"/>
      <c r="E296" s="38"/>
      <c r="F296" s="38"/>
      <c r="G296" s="38"/>
      <c r="H296" s="40"/>
      <c r="I296" s="38"/>
      <c r="J296" s="38"/>
      <c r="K296" s="38"/>
      <c r="L296" s="41"/>
      <c r="M296" s="42" t="str">
        <f aca="false">IF(C296="","",IF(W296=1,"NO – opted out. Do not email.",IF(I296="","Pick a contact type",IF(LEFT(I296,4)="Sole",IF(OR(LEFT(J296,7)="Consent",LEFT(J296,4)="Soft"),"Yes – add opt-out + privacy link",IF(LEFT(J296,8)="Contract","Reply about their enquiry only","NO – needs consent first (PECR)")),"Yes – add opt-out + privacy link"))))</f>
        <v/>
      </c>
      <c r="N296" s="38"/>
      <c r="O296" s="39"/>
      <c r="P296" s="38"/>
      <c r="Q296" s="39"/>
      <c r="R296" s="43" t="str">
        <f aca="false">IF(C296="","",IF(Q296&lt;&gt;"",Q296,IF(OR(W296=1,N296="Won",N296="Lost",N296="Parked"),"",IF(O296&lt;&gt;"",O296+Lists!$N$2,IF(B296&lt;&gt;"",B296+Lists!$N$2,"")))))</f>
        <v/>
      </c>
      <c r="S296" s="42" t="str">
        <f aca="true">IF(C296="","",IF(W296=1,"Grey – do not email",IF(N296="Won","Won",IF(OR(N296="Lost",N296="Parked"),"Closed",IF(R296="","Amber – add next action",IF(R296&lt;TODAY(),"Red – overdue",IF(R296=TODAY(),"Red – due today",IF(R296-TODAY()&lt;=Lists!$N$3,"Amber – due soon","Green – on track"))))))))</f>
        <v/>
      </c>
      <c r="T296" s="44"/>
      <c r="U296" s="38"/>
      <c r="V296" s="42" t="str">
        <f aca="true">IF(OR(C296="",W296=1,N296="Won",N296="Lost"),"",IF(ISNUMBER(R296),IF(R296&lt;=TODAY(),R296+ROW()/100000,""),""))</f>
        <v/>
      </c>
      <c r="W296" s="42" t="n">
        <f aca="false">IF(OR(L296="Y",AND(G296&lt;&gt;"",COUNTIF('Do not contact'!$A$6:$A$505,G296)&gt;0)),1,0)</f>
        <v>0</v>
      </c>
    </row>
    <row r="297" customFormat="false" ht="27.75" hidden="false" customHeight="true" outlineLevel="0" collapsed="false">
      <c r="A297" s="38"/>
      <c r="B297" s="39"/>
      <c r="C297" s="38"/>
      <c r="D297" s="38"/>
      <c r="E297" s="38"/>
      <c r="F297" s="38"/>
      <c r="G297" s="38"/>
      <c r="H297" s="40"/>
      <c r="I297" s="38"/>
      <c r="J297" s="38"/>
      <c r="K297" s="38"/>
      <c r="L297" s="41"/>
      <c r="M297" s="42" t="str">
        <f aca="false">IF(C297="","",IF(W297=1,"NO – opted out. Do not email.",IF(I297="","Pick a contact type",IF(LEFT(I297,4)="Sole",IF(OR(LEFT(J297,7)="Consent",LEFT(J297,4)="Soft"),"Yes – add opt-out + privacy link",IF(LEFT(J297,8)="Contract","Reply about their enquiry only","NO – needs consent first (PECR)")),"Yes – add opt-out + privacy link"))))</f>
        <v/>
      </c>
      <c r="N297" s="38"/>
      <c r="O297" s="39"/>
      <c r="P297" s="38"/>
      <c r="Q297" s="39"/>
      <c r="R297" s="43" t="str">
        <f aca="false">IF(C297="","",IF(Q297&lt;&gt;"",Q297,IF(OR(W297=1,N297="Won",N297="Lost",N297="Parked"),"",IF(O297&lt;&gt;"",O297+Lists!$N$2,IF(B297&lt;&gt;"",B297+Lists!$N$2,"")))))</f>
        <v/>
      </c>
      <c r="S297" s="42" t="str">
        <f aca="true">IF(C297="","",IF(W297=1,"Grey – do not email",IF(N297="Won","Won",IF(OR(N297="Lost",N297="Parked"),"Closed",IF(R297="","Amber – add next action",IF(R297&lt;TODAY(),"Red – overdue",IF(R297=TODAY(),"Red – due today",IF(R297-TODAY()&lt;=Lists!$N$3,"Amber – due soon","Green – on track"))))))))</f>
        <v/>
      </c>
      <c r="T297" s="44"/>
      <c r="U297" s="38"/>
      <c r="V297" s="42" t="str">
        <f aca="true">IF(OR(C297="",W297=1,N297="Won",N297="Lost"),"",IF(ISNUMBER(R297),IF(R297&lt;=TODAY(),R297+ROW()/100000,""),""))</f>
        <v/>
      </c>
      <c r="W297" s="42" t="n">
        <f aca="false">IF(OR(L297="Y",AND(G297&lt;&gt;"",COUNTIF('Do not contact'!$A$6:$A$505,G297)&gt;0)),1,0)</f>
        <v>0</v>
      </c>
    </row>
    <row r="298" customFormat="false" ht="27.75" hidden="false" customHeight="true" outlineLevel="0" collapsed="false">
      <c r="A298" s="38"/>
      <c r="B298" s="39"/>
      <c r="C298" s="38"/>
      <c r="D298" s="38"/>
      <c r="E298" s="38"/>
      <c r="F298" s="38"/>
      <c r="G298" s="38"/>
      <c r="H298" s="40"/>
      <c r="I298" s="38"/>
      <c r="J298" s="38"/>
      <c r="K298" s="38"/>
      <c r="L298" s="41"/>
      <c r="M298" s="42" t="str">
        <f aca="false">IF(C298="","",IF(W298=1,"NO – opted out. Do not email.",IF(I298="","Pick a contact type",IF(LEFT(I298,4)="Sole",IF(OR(LEFT(J298,7)="Consent",LEFT(J298,4)="Soft"),"Yes – add opt-out + privacy link",IF(LEFT(J298,8)="Contract","Reply about their enquiry only","NO – needs consent first (PECR)")),"Yes – add opt-out + privacy link"))))</f>
        <v/>
      </c>
      <c r="N298" s="38"/>
      <c r="O298" s="39"/>
      <c r="P298" s="38"/>
      <c r="Q298" s="39"/>
      <c r="R298" s="43" t="str">
        <f aca="false">IF(C298="","",IF(Q298&lt;&gt;"",Q298,IF(OR(W298=1,N298="Won",N298="Lost",N298="Parked"),"",IF(O298&lt;&gt;"",O298+Lists!$N$2,IF(B298&lt;&gt;"",B298+Lists!$N$2,"")))))</f>
        <v/>
      </c>
      <c r="S298" s="42" t="str">
        <f aca="true">IF(C298="","",IF(W298=1,"Grey – do not email",IF(N298="Won","Won",IF(OR(N298="Lost",N298="Parked"),"Closed",IF(R298="","Amber – add next action",IF(R298&lt;TODAY(),"Red – overdue",IF(R298=TODAY(),"Red – due today",IF(R298-TODAY()&lt;=Lists!$N$3,"Amber – due soon","Green – on track"))))))))</f>
        <v/>
      </c>
      <c r="T298" s="44"/>
      <c r="U298" s="38"/>
      <c r="V298" s="42" t="str">
        <f aca="true">IF(OR(C298="",W298=1,N298="Won",N298="Lost"),"",IF(ISNUMBER(R298),IF(R298&lt;=TODAY(),R298+ROW()/100000,""),""))</f>
        <v/>
      </c>
      <c r="W298" s="42" t="n">
        <f aca="false">IF(OR(L298="Y",AND(G298&lt;&gt;"",COUNTIF('Do not contact'!$A$6:$A$505,G298)&gt;0)),1,0)</f>
        <v>0</v>
      </c>
    </row>
    <row r="299" customFormat="false" ht="27.75" hidden="false" customHeight="true" outlineLevel="0" collapsed="false">
      <c r="A299" s="38"/>
      <c r="B299" s="39"/>
      <c r="C299" s="38"/>
      <c r="D299" s="38"/>
      <c r="E299" s="38"/>
      <c r="F299" s="38"/>
      <c r="G299" s="38"/>
      <c r="H299" s="40"/>
      <c r="I299" s="38"/>
      <c r="J299" s="38"/>
      <c r="K299" s="38"/>
      <c r="L299" s="41"/>
      <c r="M299" s="42" t="str">
        <f aca="false">IF(C299="","",IF(W299=1,"NO – opted out. Do not email.",IF(I299="","Pick a contact type",IF(LEFT(I299,4)="Sole",IF(OR(LEFT(J299,7)="Consent",LEFT(J299,4)="Soft"),"Yes – add opt-out + privacy link",IF(LEFT(J299,8)="Contract","Reply about their enquiry only","NO – needs consent first (PECR)")),"Yes – add opt-out + privacy link"))))</f>
        <v/>
      </c>
      <c r="N299" s="38"/>
      <c r="O299" s="39"/>
      <c r="P299" s="38"/>
      <c r="Q299" s="39"/>
      <c r="R299" s="43" t="str">
        <f aca="false">IF(C299="","",IF(Q299&lt;&gt;"",Q299,IF(OR(W299=1,N299="Won",N299="Lost",N299="Parked"),"",IF(O299&lt;&gt;"",O299+Lists!$N$2,IF(B299&lt;&gt;"",B299+Lists!$N$2,"")))))</f>
        <v/>
      </c>
      <c r="S299" s="42" t="str">
        <f aca="true">IF(C299="","",IF(W299=1,"Grey – do not email",IF(N299="Won","Won",IF(OR(N299="Lost",N299="Parked"),"Closed",IF(R299="","Amber – add next action",IF(R299&lt;TODAY(),"Red – overdue",IF(R299=TODAY(),"Red – due today",IF(R299-TODAY()&lt;=Lists!$N$3,"Amber – due soon","Green – on track"))))))))</f>
        <v/>
      </c>
      <c r="T299" s="44"/>
      <c r="U299" s="38"/>
      <c r="V299" s="42" t="str">
        <f aca="true">IF(OR(C299="",W299=1,N299="Won",N299="Lost"),"",IF(ISNUMBER(R299),IF(R299&lt;=TODAY(),R299+ROW()/100000,""),""))</f>
        <v/>
      </c>
      <c r="W299" s="42" t="n">
        <f aca="false">IF(OR(L299="Y",AND(G299&lt;&gt;"",COUNTIF('Do not contact'!$A$6:$A$505,G299)&gt;0)),1,0)</f>
        <v>0</v>
      </c>
    </row>
    <row r="300" customFormat="false" ht="27.75" hidden="false" customHeight="true" outlineLevel="0" collapsed="false">
      <c r="A300" s="38"/>
      <c r="B300" s="39"/>
      <c r="C300" s="38"/>
      <c r="D300" s="38"/>
      <c r="E300" s="38"/>
      <c r="F300" s="38"/>
      <c r="G300" s="38"/>
      <c r="H300" s="40"/>
      <c r="I300" s="38"/>
      <c r="J300" s="38"/>
      <c r="K300" s="38"/>
      <c r="L300" s="41"/>
      <c r="M300" s="42" t="str">
        <f aca="false">IF(C300="","",IF(W300=1,"NO – opted out. Do not email.",IF(I300="","Pick a contact type",IF(LEFT(I300,4)="Sole",IF(OR(LEFT(J300,7)="Consent",LEFT(J300,4)="Soft"),"Yes – add opt-out + privacy link",IF(LEFT(J300,8)="Contract","Reply about their enquiry only","NO – needs consent first (PECR)")),"Yes – add opt-out + privacy link"))))</f>
        <v/>
      </c>
      <c r="N300" s="38"/>
      <c r="O300" s="39"/>
      <c r="P300" s="38"/>
      <c r="Q300" s="39"/>
      <c r="R300" s="43" t="str">
        <f aca="false">IF(C300="","",IF(Q300&lt;&gt;"",Q300,IF(OR(W300=1,N300="Won",N300="Lost",N300="Parked"),"",IF(O300&lt;&gt;"",O300+Lists!$N$2,IF(B300&lt;&gt;"",B300+Lists!$N$2,"")))))</f>
        <v/>
      </c>
      <c r="S300" s="42" t="str">
        <f aca="true">IF(C300="","",IF(W300=1,"Grey – do not email",IF(N300="Won","Won",IF(OR(N300="Lost",N300="Parked"),"Closed",IF(R300="","Amber – add next action",IF(R300&lt;TODAY(),"Red – overdue",IF(R300=TODAY(),"Red – due today",IF(R300-TODAY()&lt;=Lists!$N$3,"Amber – due soon","Green – on track"))))))))</f>
        <v/>
      </c>
      <c r="T300" s="44"/>
      <c r="U300" s="38"/>
      <c r="V300" s="42" t="str">
        <f aca="true">IF(OR(C300="",W300=1,N300="Won",N300="Lost"),"",IF(ISNUMBER(R300),IF(R300&lt;=TODAY(),R300+ROW()/100000,""),""))</f>
        <v/>
      </c>
      <c r="W300" s="42" t="n">
        <f aca="false">IF(OR(L300="Y",AND(G300&lt;&gt;"",COUNTIF('Do not contact'!$A$6:$A$505,G300)&gt;0)),1,0)</f>
        <v>0</v>
      </c>
    </row>
    <row r="301" customFormat="false" ht="27.75" hidden="false" customHeight="true" outlineLevel="0" collapsed="false">
      <c r="A301" s="38"/>
      <c r="B301" s="39"/>
      <c r="C301" s="38"/>
      <c r="D301" s="38"/>
      <c r="E301" s="38"/>
      <c r="F301" s="38"/>
      <c r="G301" s="38"/>
      <c r="H301" s="40"/>
      <c r="I301" s="38"/>
      <c r="J301" s="38"/>
      <c r="K301" s="38"/>
      <c r="L301" s="41"/>
      <c r="M301" s="42" t="str">
        <f aca="false">IF(C301="","",IF(W301=1,"NO – opted out. Do not email.",IF(I301="","Pick a contact type",IF(LEFT(I301,4)="Sole",IF(OR(LEFT(J301,7)="Consent",LEFT(J301,4)="Soft"),"Yes – add opt-out + privacy link",IF(LEFT(J301,8)="Contract","Reply about their enquiry only","NO – needs consent first (PECR)")),"Yes – add opt-out + privacy link"))))</f>
        <v/>
      </c>
      <c r="N301" s="38"/>
      <c r="O301" s="39"/>
      <c r="P301" s="38"/>
      <c r="Q301" s="39"/>
      <c r="R301" s="43" t="str">
        <f aca="false">IF(C301="","",IF(Q301&lt;&gt;"",Q301,IF(OR(W301=1,N301="Won",N301="Lost",N301="Parked"),"",IF(O301&lt;&gt;"",O301+Lists!$N$2,IF(B301&lt;&gt;"",B301+Lists!$N$2,"")))))</f>
        <v/>
      </c>
      <c r="S301" s="42" t="str">
        <f aca="true">IF(C301="","",IF(W301=1,"Grey – do not email",IF(N301="Won","Won",IF(OR(N301="Lost",N301="Parked"),"Closed",IF(R301="","Amber – add next action",IF(R301&lt;TODAY(),"Red – overdue",IF(R301=TODAY(),"Red – due today",IF(R301-TODAY()&lt;=Lists!$N$3,"Amber – due soon","Green – on track"))))))))</f>
        <v/>
      </c>
      <c r="T301" s="44"/>
      <c r="U301" s="38"/>
      <c r="V301" s="42" t="str">
        <f aca="true">IF(OR(C301="",W301=1,N301="Won",N301="Lost"),"",IF(ISNUMBER(R301),IF(R301&lt;=TODAY(),R301+ROW()/100000,""),""))</f>
        <v/>
      </c>
      <c r="W301" s="42" t="n">
        <f aca="false">IF(OR(L301="Y",AND(G301&lt;&gt;"",COUNTIF('Do not contact'!$A$6:$A$505,G301)&gt;0)),1,0)</f>
        <v>0</v>
      </c>
    </row>
    <row r="302" customFormat="false" ht="27.75" hidden="false" customHeight="true" outlineLevel="0" collapsed="false">
      <c r="A302" s="38"/>
      <c r="B302" s="39"/>
      <c r="C302" s="38"/>
      <c r="D302" s="38"/>
      <c r="E302" s="38"/>
      <c r="F302" s="38"/>
      <c r="G302" s="38"/>
      <c r="H302" s="40"/>
      <c r="I302" s="38"/>
      <c r="J302" s="38"/>
      <c r="K302" s="38"/>
      <c r="L302" s="41"/>
      <c r="M302" s="42" t="str">
        <f aca="false">IF(C302="","",IF(W302=1,"NO – opted out. Do not email.",IF(I302="","Pick a contact type",IF(LEFT(I302,4)="Sole",IF(OR(LEFT(J302,7)="Consent",LEFT(J302,4)="Soft"),"Yes – add opt-out + privacy link",IF(LEFT(J302,8)="Contract","Reply about their enquiry only","NO – needs consent first (PECR)")),"Yes – add opt-out + privacy link"))))</f>
        <v/>
      </c>
      <c r="N302" s="38"/>
      <c r="O302" s="39"/>
      <c r="P302" s="38"/>
      <c r="Q302" s="39"/>
      <c r="R302" s="43" t="str">
        <f aca="false">IF(C302="","",IF(Q302&lt;&gt;"",Q302,IF(OR(W302=1,N302="Won",N302="Lost",N302="Parked"),"",IF(O302&lt;&gt;"",O302+Lists!$N$2,IF(B302&lt;&gt;"",B302+Lists!$N$2,"")))))</f>
        <v/>
      </c>
      <c r="S302" s="42" t="str">
        <f aca="true">IF(C302="","",IF(W302=1,"Grey – do not email",IF(N302="Won","Won",IF(OR(N302="Lost",N302="Parked"),"Closed",IF(R302="","Amber – add next action",IF(R302&lt;TODAY(),"Red – overdue",IF(R302=TODAY(),"Red – due today",IF(R302-TODAY()&lt;=Lists!$N$3,"Amber – due soon","Green – on track"))))))))</f>
        <v/>
      </c>
      <c r="T302" s="44"/>
      <c r="U302" s="38"/>
      <c r="V302" s="42" t="str">
        <f aca="true">IF(OR(C302="",W302=1,N302="Won",N302="Lost"),"",IF(ISNUMBER(R302),IF(R302&lt;=TODAY(),R302+ROW()/100000,""),""))</f>
        <v/>
      </c>
      <c r="W302" s="42" t="n">
        <f aca="false">IF(OR(L302="Y",AND(G302&lt;&gt;"",COUNTIF('Do not contact'!$A$6:$A$505,G302)&gt;0)),1,0)</f>
        <v>0</v>
      </c>
    </row>
    <row r="303" customFormat="false" ht="27.75" hidden="false" customHeight="true" outlineLevel="0" collapsed="false">
      <c r="A303" s="38"/>
      <c r="B303" s="39"/>
      <c r="C303" s="38"/>
      <c r="D303" s="38"/>
      <c r="E303" s="38"/>
      <c r="F303" s="38"/>
      <c r="G303" s="38"/>
      <c r="H303" s="40"/>
      <c r="I303" s="38"/>
      <c r="J303" s="38"/>
      <c r="K303" s="38"/>
      <c r="L303" s="41"/>
      <c r="M303" s="42" t="str">
        <f aca="false">IF(C303="","",IF(W303=1,"NO – opted out. Do not email.",IF(I303="","Pick a contact type",IF(LEFT(I303,4)="Sole",IF(OR(LEFT(J303,7)="Consent",LEFT(J303,4)="Soft"),"Yes – add opt-out + privacy link",IF(LEFT(J303,8)="Contract","Reply about their enquiry only","NO – needs consent first (PECR)")),"Yes – add opt-out + privacy link"))))</f>
        <v/>
      </c>
      <c r="N303" s="38"/>
      <c r="O303" s="39"/>
      <c r="P303" s="38"/>
      <c r="Q303" s="39"/>
      <c r="R303" s="43" t="str">
        <f aca="false">IF(C303="","",IF(Q303&lt;&gt;"",Q303,IF(OR(W303=1,N303="Won",N303="Lost",N303="Parked"),"",IF(O303&lt;&gt;"",O303+Lists!$N$2,IF(B303&lt;&gt;"",B303+Lists!$N$2,"")))))</f>
        <v/>
      </c>
      <c r="S303" s="42" t="str">
        <f aca="true">IF(C303="","",IF(W303=1,"Grey – do not email",IF(N303="Won","Won",IF(OR(N303="Lost",N303="Parked"),"Closed",IF(R303="","Amber – add next action",IF(R303&lt;TODAY(),"Red – overdue",IF(R303=TODAY(),"Red – due today",IF(R303-TODAY()&lt;=Lists!$N$3,"Amber – due soon","Green – on track"))))))))</f>
        <v/>
      </c>
      <c r="T303" s="44"/>
      <c r="U303" s="38"/>
      <c r="V303" s="42" t="str">
        <f aca="true">IF(OR(C303="",W303=1,N303="Won",N303="Lost"),"",IF(ISNUMBER(R303),IF(R303&lt;=TODAY(),R303+ROW()/100000,""),""))</f>
        <v/>
      </c>
      <c r="W303" s="42" t="n">
        <f aca="false">IF(OR(L303="Y",AND(G303&lt;&gt;"",COUNTIF('Do not contact'!$A$6:$A$505,G303)&gt;0)),1,0)</f>
        <v>0</v>
      </c>
    </row>
    <row r="304" customFormat="false" ht="27.75" hidden="false" customHeight="true" outlineLevel="0" collapsed="false">
      <c r="A304" s="38"/>
      <c r="B304" s="39"/>
      <c r="C304" s="38"/>
      <c r="D304" s="38"/>
      <c r="E304" s="38"/>
      <c r="F304" s="38"/>
      <c r="G304" s="38"/>
      <c r="H304" s="40"/>
      <c r="I304" s="38"/>
      <c r="J304" s="38"/>
      <c r="K304" s="38"/>
      <c r="L304" s="41"/>
      <c r="M304" s="42" t="str">
        <f aca="false">IF(C304="","",IF(W304=1,"NO – opted out. Do not email.",IF(I304="","Pick a contact type",IF(LEFT(I304,4)="Sole",IF(OR(LEFT(J304,7)="Consent",LEFT(J304,4)="Soft"),"Yes – add opt-out + privacy link",IF(LEFT(J304,8)="Contract","Reply about their enquiry only","NO – needs consent first (PECR)")),"Yes – add opt-out + privacy link"))))</f>
        <v/>
      </c>
      <c r="N304" s="38"/>
      <c r="O304" s="39"/>
      <c r="P304" s="38"/>
      <c r="Q304" s="39"/>
      <c r="R304" s="43" t="str">
        <f aca="false">IF(C304="","",IF(Q304&lt;&gt;"",Q304,IF(OR(W304=1,N304="Won",N304="Lost",N304="Parked"),"",IF(O304&lt;&gt;"",O304+Lists!$N$2,IF(B304&lt;&gt;"",B304+Lists!$N$2,"")))))</f>
        <v/>
      </c>
      <c r="S304" s="42" t="str">
        <f aca="true">IF(C304="","",IF(W304=1,"Grey – do not email",IF(N304="Won","Won",IF(OR(N304="Lost",N304="Parked"),"Closed",IF(R304="","Amber – add next action",IF(R304&lt;TODAY(),"Red – overdue",IF(R304=TODAY(),"Red – due today",IF(R304-TODAY()&lt;=Lists!$N$3,"Amber – due soon","Green – on track"))))))))</f>
        <v/>
      </c>
      <c r="T304" s="44"/>
      <c r="U304" s="38"/>
      <c r="V304" s="42" t="str">
        <f aca="true">IF(OR(C304="",W304=1,N304="Won",N304="Lost"),"",IF(ISNUMBER(R304),IF(R304&lt;=TODAY(),R304+ROW()/100000,""),""))</f>
        <v/>
      </c>
      <c r="W304" s="42" t="n">
        <f aca="false">IF(OR(L304="Y",AND(G304&lt;&gt;"",COUNTIF('Do not contact'!$A$6:$A$505,G304)&gt;0)),1,0)</f>
        <v>0</v>
      </c>
    </row>
    <row r="305" customFormat="false" ht="27.75" hidden="false" customHeight="true" outlineLevel="0" collapsed="false">
      <c r="A305" s="38"/>
      <c r="B305" s="39"/>
      <c r="C305" s="38"/>
      <c r="D305" s="38"/>
      <c r="E305" s="38"/>
      <c r="F305" s="38"/>
      <c r="G305" s="38"/>
      <c r="H305" s="40"/>
      <c r="I305" s="38"/>
      <c r="J305" s="38"/>
      <c r="K305" s="38"/>
      <c r="L305" s="41"/>
      <c r="M305" s="42" t="str">
        <f aca="false">IF(C305="","",IF(W305=1,"NO – opted out. Do not email.",IF(I305="","Pick a contact type",IF(LEFT(I305,4)="Sole",IF(OR(LEFT(J305,7)="Consent",LEFT(J305,4)="Soft"),"Yes – add opt-out + privacy link",IF(LEFT(J305,8)="Contract","Reply about their enquiry only","NO – needs consent first (PECR)")),"Yes – add opt-out + privacy link"))))</f>
        <v/>
      </c>
      <c r="N305" s="38"/>
      <c r="O305" s="39"/>
      <c r="P305" s="38"/>
      <c r="Q305" s="39"/>
      <c r="R305" s="43" t="str">
        <f aca="false">IF(C305="","",IF(Q305&lt;&gt;"",Q305,IF(OR(W305=1,N305="Won",N305="Lost",N305="Parked"),"",IF(O305&lt;&gt;"",O305+Lists!$N$2,IF(B305&lt;&gt;"",B305+Lists!$N$2,"")))))</f>
        <v/>
      </c>
      <c r="S305" s="42" t="str">
        <f aca="true">IF(C305="","",IF(W305=1,"Grey – do not email",IF(N305="Won","Won",IF(OR(N305="Lost",N305="Parked"),"Closed",IF(R305="","Amber – add next action",IF(R305&lt;TODAY(),"Red – overdue",IF(R305=TODAY(),"Red – due today",IF(R305-TODAY()&lt;=Lists!$N$3,"Amber – due soon","Green – on track"))))))))</f>
        <v/>
      </c>
      <c r="T305" s="44"/>
      <c r="U305" s="38"/>
      <c r="V305" s="42" t="str">
        <f aca="true">IF(OR(C305="",W305=1,N305="Won",N305="Lost"),"",IF(ISNUMBER(R305),IF(R305&lt;=TODAY(),R305+ROW()/100000,""),""))</f>
        <v/>
      </c>
      <c r="W305" s="42" t="n">
        <f aca="false">IF(OR(L305="Y",AND(G305&lt;&gt;"",COUNTIF('Do not contact'!$A$6:$A$505,G305)&gt;0)),1,0)</f>
        <v>0</v>
      </c>
    </row>
  </sheetData>
  <sheetProtection sheet="true" formatColumns="false" formatRows="false" sort="false" autoFilter="false"/>
  <autoFilter ref="A4:U305"/>
  <mergeCells count="4">
    <mergeCell ref="A3:H3"/>
    <mergeCell ref="I3:M3"/>
    <mergeCell ref="N3:S3"/>
    <mergeCell ref="T3:U3"/>
  </mergeCells>
  <conditionalFormatting sqref="A6:U305">
    <cfRule type="expression" priority="2" aboveAverage="0" equalAverage="0" bottom="0" percent="0" rank="0" text="" dxfId="14">
      <formula>$W6=1</formula>
    </cfRule>
  </conditionalFormatting>
  <conditionalFormatting sqref="M6:M305">
    <cfRule type="expression" priority="3" aboveAverage="0" equalAverage="0" bottom="0" percent="0" rank="0" text="" dxfId="3">
      <formula>LEFT(M6,2)="NO"</formula>
    </cfRule>
  </conditionalFormatting>
  <conditionalFormatting sqref="S6:S305">
    <cfRule type="expression" priority="4" aboveAverage="0" equalAverage="0" bottom="0" percent="0" rank="0" text="" dxfId="15">
      <formula>LEFT(S6,3)="Red"</formula>
    </cfRule>
    <cfRule type="expression" priority="5" aboveAverage="0" equalAverage="0" bottom="0" percent="0" rank="0" text="" dxfId="16">
      <formula>LEFT(S6,5)="Amber"</formula>
    </cfRule>
    <cfRule type="expression" priority="6" aboveAverage="0" equalAverage="0" bottom="0" percent="0" rank="0" text="" dxfId="17">
      <formula>OR(LEFT(S6,5)="Green",S6="Won")</formula>
    </cfRule>
  </conditionalFormatting>
  <conditionalFormatting sqref="R6:R305">
    <cfRule type="expression" priority="7" aboveAverage="0" equalAverage="0" bottom="0" percent="0" rank="0" text="" dxfId="3">
      <formula>AND(ISNUMBER(R6),R6&lt;=TODAY())</formula>
    </cfRule>
  </conditionalFormatting>
  <conditionalFormatting sqref="I6:I305">
    <cfRule type="expression" priority="8" aboveAverage="0" equalAverage="0" bottom="0" percent="0" rank="0" text="" dxfId="5">
      <formula>LEFT(I6,4)="Sole"</formula>
    </cfRule>
  </conditionalFormatting>
  <dataValidations count="9">
    <dataValidation allowBlank="true" errorStyle="stop" operator="between" showDropDown="false" showErrorMessage="false" showInputMessage="false" sqref="D6:D305" type="list">
      <formula1>Lists!$A$2:$A$31</formula1>
      <formula2>0</formula2>
    </dataValidation>
    <dataValidation allowBlank="true" errorStyle="stop" operator="between" showDropDown="false" showErrorMessage="false" showInputMessage="false" sqref="I6:I305" type="list">
      <formula1>Lists!$B$2:$B$31</formula1>
      <formula2>0</formula2>
    </dataValidation>
    <dataValidation allowBlank="true" errorStyle="stop" operator="between" showDropDown="false" showErrorMessage="false" showInputMessage="false" sqref="J6:J305" type="list">
      <formula1>Lists!$C$2:$C$31</formula1>
      <formula2>0</formula2>
    </dataValidation>
    <dataValidation allowBlank="true" errorStyle="stop" operator="between" showDropDown="false" showErrorMessage="false" showInputMessage="false" sqref="K6:K305" type="list">
      <formula1>Lists!$D$2:$D$31</formula1>
      <formula2>0</formula2>
    </dataValidation>
    <dataValidation allowBlank="true" errorStyle="stop" operator="between" showDropDown="false" showErrorMessage="false" showInputMessage="false" sqref="N6:N305" type="list">
      <formula1>Lists!$E$2:$E$31</formula1>
      <formula2>0</formula2>
    </dataValidation>
    <dataValidation allowBlank="true" errorStyle="stop" operator="between" showDropDown="false" showErrorMessage="false" showInputMessage="false" sqref="L6:L305" type="list">
      <formula1>Lists!$J$2:$J$31</formula1>
      <formula2>0</formula2>
    </dataValidation>
    <dataValidation allowBlank="true" error="Enter a date as DD/MM/YYYY." errorStyle="stop" errorTitle="Date" operator="greaterThan" showDropDown="false" showErrorMessage="true" showInputMessage="false" sqref="B6:B305 O6:O305 Q6:Q305" type="date">
      <formula1>1</formula1>
      <formula2>0</formula2>
    </dataValidation>
    <dataValidation allowBlank="true" error="That does not look like an email address." errorStyle="warning" errorTitle="Email" operator="between" showDropDown="false" showErrorMessage="true" showInputMessage="false" sqref="G6:G305" type="custom">
      <formula1>ISNUMBER(SEARCH("@",G6))</formula1>
      <formula2>0</formula2>
    </dataValidation>
    <dataValidation allowBlank="true" error="Numbers only, no £ sign." errorStyle="stop" operator="greaterThanOrEqual" showDropDown="false" showErrorMessage="true" showInputMessage="false" sqref="T6:T305" type="decimal">
      <formula1>0</formula1>
      <formula2>0</formula2>
    </dataValidation>
  </dataValidations>
  <printOptions headings="false" gridLines="false" gridLinesSet="true" horizontalCentered="false" verticalCentered="false"/>
  <pageMargins left="0.4" right="0.4"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28"/>
    <col collapsed="false" customWidth="true" hidden="false" outlineLevel="0" max="3" min="3" style="0" width="22"/>
    <col collapsed="false" customWidth="true" hidden="false" outlineLevel="0" max="4" min="4" style="0" width="18"/>
    <col collapsed="false" customWidth="true" hidden="false" outlineLevel="0" max="5" min="5" style="0" width="11"/>
    <col collapsed="false" customWidth="true" hidden="false" outlineLevel="0" max="7" min="6" style="0" width="12"/>
    <col collapsed="false" customWidth="true" hidden="false" outlineLevel="0" max="8" min="8" style="0" width="8"/>
    <col collapsed="false" customWidth="true" hidden="false" outlineLevel="0" max="9" min="9" style="0" width="10"/>
    <col collapsed="false" customWidth="true" hidden="false" outlineLevel="0" max="10" min="10" style="0" width="12"/>
    <col collapsed="false" customWidth="true" hidden="false" outlineLevel="0" max="11" min="11" style="0" width="14"/>
    <col collapsed="false" customWidth="true" hidden="false" outlineLevel="0" max="12" min="12" style="0" width="13"/>
    <col collapsed="false" customWidth="true" hidden="false" outlineLevel="0" max="14" min="13" style="0" width="12"/>
    <col collapsed="false" customWidth="true" hidden="false" outlineLevel="0" max="15" min="15" style="0" width="24"/>
    <col collapsed="false" customWidth="true" hidden="false" outlineLevel="0" max="16" min="16" style="0" width="26"/>
    <col collapsed="false" customWidth="true" hidden="false" outlineLevel="0" max="17" min="17" style="0" width="30"/>
    <col collapsed="false" customWidth="true" hidden="true" outlineLevel="0" max="18" min="18" style="0" width="4"/>
  </cols>
  <sheetData>
    <row r="1" customFormat="false" ht="19.7" hidden="false" customHeight="false" outlineLevel="0" collapsed="false">
      <c r="A1" s="33" t="str">
        <f>'Start here'!$B$1&amp;" – TENDERS"</f>
        <v>[COMPANY NAME] – TENDERS</v>
      </c>
    </row>
    <row r="2" customFormat="false" ht="15" hidden="false" customHeight="false" outlineLevel="0" collapsed="false">
      <c r="A2" s="16" t="s">
        <v>144</v>
      </c>
    </row>
    <row r="3" customFormat="false" ht="15" hidden="false" customHeight="true" outlineLevel="0" collapsed="false">
      <c r="A3" s="34" t="s">
        <v>145</v>
      </c>
      <c r="B3" s="34"/>
      <c r="C3" s="34"/>
      <c r="D3" s="34"/>
      <c r="E3" s="34"/>
      <c r="F3" s="34"/>
      <c r="G3" s="34"/>
      <c r="H3" s="34" t="s">
        <v>146</v>
      </c>
      <c r="I3" s="34"/>
      <c r="J3" s="34"/>
      <c r="K3" s="34"/>
      <c r="L3" s="34"/>
      <c r="M3" s="34" t="s">
        <v>147</v>
      </c>
      <c r="N3" s="34"/>
      <c r="O3" s="34"/>
      <c r="P3" s="34"/>
      <c r="Q3" s="34"/>
    </row>
    <row r="4" customFormat="false" ht="42" hidden="false" customHeight="true" outlineLevel="0" collapsed="false">
      <c r="A4" s="20" t="s">
        <v>70</v>
      </c>
      <c r="B4" s="20" t="s">
        <v>79</v>
      </c>
      <c r="C4" s="20" t="s">
        <v>80</v>
      </c>
      <c r="D4" s="20" t="s">
        <v>148</v>
      </c>
      <c r="E4" s="20" t="s">
        <v>89</v>
      </c>
      <c r="F4" s="20" t="s">
        <v>149</v>
      </c>
      <c r="G4" s="20" t="s">
        <v>77</v>
      </c>
      <c r="H4" s="35" t="s">
        <v>78</v>
      </c>
      <c r="I4" s="20" t="s">
        <v>150</v>
      </c>
      <c r="J4" s="20" t="s">
        <v>83</v>
      </c>
      <c r="K4" s="20" t="s">
        <v>151</v>
      </c>
      <c r="L4" s="20" t="s">
        <v>81</v>
      </c>
      <c r="M4" s="20" t="s">
        <v>152</v>
      </c>
      <c r="N4" s="20" t="s">
        <v>153</v>
      </c>
      <c r="O4" s="20" t="s">
        <v>154</v>
      </c>
      <c r="P4" s="20" t="s">
        <v>155</v>
      </c>
      <c r="Q4" s="35" t="s">
        <v>82</v>
      </c>
      <c r="R4" s="35" t="s">
        <v>120</v>
      </c>
    </row>
    <row r="5" customFormat="false" ht="79.5" hidden="false" customHeight="true" outlineLevel="0" collapsed="false">
      <c r="A5" s="36" t="s">
        <v>156</v>
      </c>
      <c r="B5" s="36" t="s">
        <v>157</v>
      </c>
      <c r="C5" s="36" t="s">
        <v>158</v>
      </c>
      <c r="D5" s="36" t="s">
        <v>159</v>
      </c>
      <c r="E5" s="36" t="s">
        <v>160</v>
      </c>
      <c r="F5" s="36" t="s">
        <v>161</v>
      </c>
      <c r="G5" s="36" t="s">
        <v>162</v>
      </c>
      <c r="H5" s="37" t="s">
        <v>163</v>
      </c>
      <c r="I5" s="36" t="s">
        <v>164</v>
      </c>
      <c r="J5" s="36" t="s">
        <v>165</v>
      </c>
      <c r="K5" s="36" t="s">
        <v>166</v>
      </c>
      <c r="L5" s="36" t="s">
        <v>125</v>
      </c>
      <c r="M5" s="36" t="s">
        <v>123</v>
      </c>
      <c r="N5" s="36" t="s">
        <v>167</v>
      </c>
      <c r="O5" s="36" t="s">
        <v>168</v>
      </c>
      <c r="P5" s="36" t="s">
        <v>169</v>
      </c>
      <c r="Q5" s="37" t="s">
        <v>170</v>
      </c>
      <c r="R5" s="37"/>
    </row>
    <row r="6" customFormat="false" ht="27.75" hidden="false" customHeight="true" outlineLevel="0" collapsed="false">
      <c r="A6" s="38"/>
      <c r="B6" s="38"/>
      <c r="C6" s="38"/>
      <c r="D6" s="38"/>
      <c r="E6" s="44"/>
      <c r="F6" s="38"/>
      <c r="G6" s="39"/>
      <c r="H6" s="45" t="str">
        <f aca="true">IF(OR(B6="",G6=""),"",IF(OR(L6="Submitted",L6="Won",L6="Lost",L6="Withdrawn"),"",G6-TODAY()))</f>
        <v/>
      </c>
      <c r="I6" s="46"/>
      <c r="J6" s="41"/>
      <c r="K6" s="38"/>
      <c r="L6" s="38"/>
      <c r="M6" s="39"/>
      <c r="N6" s="39"/>
      <c r="O6" s="38"/>
      <c r="P6" s="38"/>
      <c r="Q6" s="42" t="str">
        <f aca="false">IF(B6="","",IF(AND(OR(L6="Won",L6="Lost"),N6=""),"Add the result date",IF(OR(L6="Won",L6="Lost"),IF(O6="","Ask the buyer for scores and feedback",IF(P6="","Write 1–3 lessons","Done")),IF(L6="Withdrawn","Done",IF(L6="Submitted","Wait for the result – diary the date given",IF(L6="Clarification","Answer the buyer’s questions by their deadline",IF(J6="No bid","Not bidding – set status to Withdrawn",IF(J6&lt;&gt;"Bid","Score it with ARB-BD-05, then decide",IF(AND(ISNUMBER(H6),H6&lt;0),"Deadline passed – check the portal",IF(AND(ISNUMBER(H6),H6&lt;=Lists!$N$5),"Final checks – submit at least a day early","Book writing time in the diary"))))))))))</f>
        <v/>
      </c>
      <c r="R6" s="42" t="str">
        <f aca="false">IF(ISNUMBER(H6),IF(AND(H6&gt;=0,H6&lt;=Lists!$N$4),G6+ROW()/100000,""),"")</f>
        <v/>
      </c>
    </row>
    <row r="7" customFormat="false" ht="27.75" hidden="false" customHeight="true" outlineLevel="0" collapsed="false">
      <c r="A7" s="38"/>
      <c r="B7" s="38"/>
      <c r="C7" s="38"/>
      <c r="D7" s="38"/>
      <c r="E7" s="44"/>
      <c r="F7" s="38"/>
      <c r="G7" s="39"/>
      <c r="H7" s="45" t="str">
        <f aca="true">IF(OR(B7="",G7=""),"",IF(OR(L7="Submitted",L7="Won",L7="Lost",L7="Withdrawn"),"",G7-TODAY()))</f>
        <v/>
      </c>
      <c r="I7" s="46"/>
      <c r="J7" s="41"/>
      <c r="K7" s="38"/>
      <c r="L7" s="38"/>
      <c r="M7" s="39"/>
      <c r="N7" s="39"/>
      <c r="O7" s="38"/>
      <c r="P7" s="38"/>
      <c r="Q7" s="42" t="str">
        <f aca="false">IF(B7="","",IF(AND(OR(L7="Won",L7="Lost"),N7=""),"Add the result date",IF(OR(L7="Won",L7="Lost"),IF(O7="","Ask the buyer for scores and feedback",IF(P7="","Write 1–3 lessons","Done")),IF(L7="Withdrawn","Done",IF(L7="Submitted","Wait for the result – diary the date given",IF(L7="Clarification","Answer the buyer’s questions by their deadline",IF(J7="No bid","Not bidding – set status to Withdrawn",IF(J7&lt;&gt;"Bid","Score it with ARB-BD-05, then decide",IF(AND(ISNUMBER(H7),H7&lt;0),"Deadline passed – check the portal",IF(AND(ISNUMBER(H7),H7&lt;=Lists!$N$5),"Final checks – submit at least a day early","Book writing time in the diary"))))))))))</f>
        <v/>
      </c>
      <c r="R7" s="42" t="str">
        <f aca="false">IF(ISNUMBER(H7),IF(AND(H7&gt;=0,H7&lt;=Lists!$N$4),G7+ROW()/100000,""),"")</f>
        <v/>
      </c>
    </row>
    <row r="8" customFormat="false" ht="27.75" hidden="false" customHeight="true" outlineLevel="0" collapsed="false">
      <c r="A8" s="38"/>
      <c r="B8" s="38"/>
      <c r="C8" s="38"/>
      <c r="D8" s="38"/>
      <c r="E8" s="44"/>
      <c r="F8" s="38"/>
      <c r="G8" s="39"/>
      <c r="H8" s="45" t="str">
        <f aca="true">IF(OR(B8="",G8=""),"",IF(OR(L8="Submitted",L8="Won",L8="Lost",L8="Withdrawn"),"",G8-TODAY()))</f>
        <v/>
      </c>
      <c r="I8" s="46"/>
      <c r="J8" s="41"/>
      <c r="K8" s="38"/>
      <c r="L8" s="38"/>
      <c r="M8" s="39"/>
      <c r="N8" s="39"/>
      <c r="O8" s="38"/>
      <c r="P8" s="38"/>
      <c r="Q8" s="42" t="str">
        <f aca="false">IF(B8="","",IF(AND(OR(L8="Won",L8="Lost"),N8=""),"Add the result date",IF(OR(L8="Won",L8="Lost"),IF(O8="","Ask the buyer for scores and feedback",IF(P8="","Write 1–3 lessons","Done")),IF(L8="Withdrawn","Done",IF(L8="Submitted","Wait for the result – diary the date given",IF(L8="Clarification","Answer the buyer’s questions by their deadline",IF(J8="No bid","Not bidding – set status to Withdrawn",IF(J8&lt;&gt;"Bid","Score it with ARB-BD-05, then decide",IF(AND(ISNUMBER(H8),H8&lt;0),"Deadline passed – check the portal",IF(AND(ISNUMBER(H8),H8&lt;=Lists!$N$5),"Final checks – submit at least a day early","Book writing time in the diary"))))))))))</f>
        <v/>
      </c>
      <c r="R8" s="42" t="str">
        <f aca="false">IF(ISNUMBER(H8),IF(AND(H8&gt;=0,H8&lt;=Lists!$N$4),G8+ROW()/100000,""),"")</f>
        <v/>
      </c>
    </row>
    <row r="9" customFormat="false" ht="27.75" hidden="false" customHeight="true" outlineLevel="0" collapsed="false">
      <c r="A9" s="38"/>
      <c r="B9" s="38"/>
      <c r="C9" s="38"/>
      <c r="D9" s="38"/>
      <c r="E9" s="44"/>
      <c r="F9" s="38"/>
      <c r="G9" s="39"/>
      <c r="H9" s="45" t="str">
        <f aca="true">IF(OR(B9="",G9=""),"",IF(OR(L9="Submitted",L9="Won",L9="Lost",L9="Withdrawn"),"",G9-TODAY()))</f>
        <v/>
      </c>
      <c r="I9" s="46"/>
      <c r="J9" s="41"/>
      <c r="K9" s="38"/>
      <c r="L9" s="38"/>
      <c r="M9" s="39"/>
      <c r="N9" s="39"/>
      <c r="O9" s="38"/>
      <c r="P9" s="38"/>
      <c r="Q9" s="42" t="str">
        <f aca="false">IF(B9="","",IF(AND(OR(L9="Won",L9="Lost"),N9=""),"Add the result date",IF(OR(L9="Won",L9="Lost"),IF(O9="","Ask the buyer for scores and feedback",IF(P9="","Write 1–3 lessons","Done")),IF(L9="Withdrawn","Done",IF(L9="Submitted","Wait for the result – diary the date given",IF(L9="Clarification","Answer the buyer’s questions by their deadline",IF(J9="No bid","Not bidding – set status to Withdrawn",IF(J9&lt;&gt;"Bid","Score it with ARB-BD-05, then decide",IF(AND(ISNUMBER(H9),H9&lt;0),"Deadline passed – check the portal",IF(AND(ISNUMBER(H9),H9&lt;=Lists!$N$5),"Final checks – submit at least a day early","Book writing time in the diary"))))))))))</f>
        <v/>
      </c>
      <c r="R9" s="42" t="str">
        <f aca="false">IF(ISNUMBER(H9),IF(AND(H9&gt;=0,H9&lt;=Lists!$N$4),G9+ROW()/100000,""),"")</f>
        <v/>
      </c>
    </row>
    <row r="10" customFormat="false" ht="27.75" hidden="false" customHeight="true" outlineLevel="0" collapsed="false">
      <c r="A10" s="38"/>
      <c r="B10" s="38"/>
      <c r="C10" s="38"/>
      <c r="D10" s="38"/>
      <c r="E10" s="44"/>
      <c r="F10" s="38"/>
      <c r="G10" s="39"/>
      <c r="H10" s="45" t="str">
        <f aca="true">IF(OR(B10="",G10=""),"",IF(OR(L10="Submitted",L10="Won",L10="Lost",L10="Withdrawn"),"",G10-TODAY()))</f>
        <v/>
      </c>
      <c r="I10" s="46"/>
      <c r="J10" s="41"/>
      <c r="K10" s="38"/>
      <c r="L10" s="38"/>
      <c r="M10" s="39"/>
      <c r="N10" s="39"/>
      <c r="O10" s="38"/>
      <c r="P10" s="38"/>
      <c r="Q10" s="42" t="str">
        <f aca="false">IF(B10="","",IF(AND(OR(L10="Won",L10="Lost"),N10=""),"Add the result date",IF(OR(L10="Won",L10="Lost"),IF(O10="","Ask the buyer for scores and feedback",IF(P10="","Write 1–3 lessons","Done")),IF(L10="Withdrawn","Done",IF(L10="Submitted","Wait for the result – diary the date given",IF(L10="Clarification","Answer the buyer’s questions by their deadline",IF(J10="No bid","Not bidding – set status to Withdrawn",IF(J10&lt;&gt;"Bid","Score it with ARB-BD-05, then decide",IF(AND(ISNUMBER(H10),H10&lt;0),"Deadline passed – check the portal",IF(AND(ISNUMBER(H10),H10&lt;=Lists!$N$5),"Final checks – submit at least a day early","Book writing time in the diary"))))))))))</f>
        <v/>
      </c>
      <c r="R10" s="42" t="str">
        <f aca="false">IF(ISNUMBER(H10),IF(AND(H10&gt;=0,H10&lt;=Lists!$N$4),G10+ROW()/100000,""),"")</f>
        <v/>
      </c>
    </row>
    <row r="11" customFormat="false" ht="27.75" hidden="false" customHeight="true" outlineLevel="0" collapsed="false">
      <c r="A11" s="38"/>
      <c r="B11" s="38"/>
      <c r="C11" s="38"/>
      <c r="D11" s="38"/>
      <c r="E11" s="44"/>
      <c r="F11" s="38"/>
      <c r="G11" s="39"/>
      <c r="H11" s="45" t="str">
        <f aca="true">IF(OR(B11="",G11=""),"",IF(OR(L11="Submitted",L11="Won",L11="Lost",L11="Withdrawn"),"",G11-TODAY()))</f>
        <v/>
      </c>
      <c r="I11" s="46"/>
      <c r="J11" s="41"/>
      <c r="K11" s="38"/>
      <c r="L11" s="38"/>
      <c r="M11" s="39"/>
      <c r="N11" s="39"/>
      <c r="O11" s="38"/>
      <c r="P11" s="38"/>
      <c r="Q11" s="42" t="str">
        <f aca="false">IF(B11="","",IF(AND(OR(L11="Won",L11="Lost"),N11=""),"Add the result date",IF(OR(L11="Won",L11="Lost"),IF(O11="","Ask the buyer for scores and feedback",IF(P11="","Write 1–3 lessons","Done")),IF(L11="Withdrawn","Done",IF(L11="Submitted","Wait for the result – diary the date given",IF(L11="Clarification","Answer the buyer’s questions by their deadline",IF(J11="No bid","Not bidding – set status to Withdrawn",IF(J11&lt;&gt;"Bid","Score it with ARB-BD-05, then decide",IF(AND(ISNUMBER(H11),H11&lt;0),"Deadline passed – check the portal",IF(AND(ISNUMBER(H11),H11&lt;=Lists!$N$5),"Final checks – submit at least a day early","Book writing time in the diary"))))))))))</f>
        <v/>
      </c>
      <c r="R11" s="42" t="str">
        <f aca="false">IF(ISNUMBER(H11),IF(AND(H11&gt;=0,H11&lt;=Lists!$N$4),G11+ROW()/100000,""),"")</f>
        <v/>
      </c>
    </row>
    <row r="12" customFormat="false" ht="27.75" hidden="false" customHeight="true" outlineLevel="0" collapsed="false">
      <c r="A12" s="38"/>
      <c r="B12" s="38"/>
      <c r="C12" s="38"/>
      <c r="D12" s="38"/>
      <c r="E12" s="44"/>
      <c r="F12" s="38"/>
      <c r="G12" s="39"/>
      <c r="H12" s="45" t="str">
        <f aca="true">IF(OR(B12="",G12=""),"",IF(OR(L12="Submitted",L12="Won",L12="Lost",L12="Withdrawn"),"",G12-TODAY()))</f>
        <v/>
      </c>
      <c r="I12" s="46"/>
      <c r="J12" s="41"/>
      <c r="K12" s="38"/>
      <c r="L12" s="38"/>
      <c r="M12" s="39"/>
      <c r="N12" s="39"/>
      <c r="O12" s="38"/>
      <c r="P12" s="38"/>
      <c r="Q12" s="42" t="str">
        <f aca="false">IF(B12="","",IF(AND(OR(L12="Won",L12="Lost"),N12=""),"Add the result date",IF(OR(L12="Won",L12="Lost"),IF(O12="","Ask the buyer for scores and feedback",IF(P12="","Write 1–3 lessons","Done")),IF(L12="Withdrawn","Done",IF(L12="Submitted","Wait for the result – diary the date given",IF(L12="Clarification","Answer the buyer’s questions by their deadline",IF(J12="No bid","Not bidding – set status to Withdrawn",IF(J12&lt;&gt;"Bid","Score it with ARB-BD-05, then decide",IF(AND(ISNUMBER(H12),H12&lt;0),"Deadline passed – check the portal",IF(AND(ISNUMBER(H12),H12&lt;=Lists!$N$5),"Final checks – submit at least a day early","Book writing time in the diary"))))))))))</f>
        <v/>
      </c>
      <c r="R12" s="42" t="str">
        <f aca="false">IF(ISNUMBER(H12),IF(AND(H12&gt;=0,H12&lt;=Lists!$N$4),G12+ROW()/100000,""),"")</f>
        <v/>
      </c>
    </row>
    <row r="13" customFormat="false" ht="27.75" hidden="false" customHeight="true" outlineLevel="0" collapsed="false">
      <c r="A13" s="38"/>
      <c r="B13" s="38"/>
      <c r="C13" s="38"/>
      <c r="D13" s="38"/>
      <c r="E13" s="44"/>
      <c r="F13" s="38"/>
      <c r="G13" s="39"/>
      <c r="H13" s="45" t="str">
        <f aca="true">IF(OR(B13="",G13=""),"",IF(OR(L13="Submitted",L13="Won",L13="Lost",L13="Withdrawn"),"",G13-TODAY()))</f>
        <v/>
      </c>
      <c r="I13" s="46"/>
      <c r="J13" s="41"/>
      <c r="K13" s="38"/>
      <c r="L13" s="38"/>
      <c r="M13" s="39"/>
      <c r="N13" s="39"/>
      <c r="O13" s="38"/>
      <c r="P13" s="38"/>
      <c r="Q13" s="42" t="str">
        <f aca="false">IF(B13="","",IF(AND(OR(L13="Won",L13="Lost"),N13=""),"Add the result date",IF(OR(L13="Won",L13="Lost"),IF(O13="","Ask the buyer for scores and feedback",IF(P13="","Write 1–3 lessons","Done")),IF(L13="Withdrawn","Done",IF(L13="Submitted","Wait for the result – diary the date given",IF(L13="Clarification","Answer the buyer’s questions by their deadline",IF(J13="No bid","Not bidding – set status to Withdrawn",IF(J13&lt;&gt;"Bid","Score it with ARB-BD-05, then decide",IF(AND(ISNUMBER(H13),H13&lt;0),"Deadline passed – check the portal",IF(AND(ISNUMBER(H13),H13&lt;=Lists!$N$5),"Final checks – submit at least a day early","Book writing time in the diary"))))))))))</f>
        <v/>
      </c>
      <c r="R13" s="42" t="str">
        <f aca="false">IF(ISNUMBER(H13),IF(AND(H13&gt;=0,H13&lt;=Lists!$N$4),G13+ROW()/100000,""),"")</f>
        <v/>
      </c>
    </row>
    <row r="14" customFormat="false" ht="27.75" hidden="false" customHeight="true" outlineLevel="0" collapsed="false">
      <c r="A14" s="38"/>
      <c r="B14" s="38"/>
      <c r="C14" s="38"/>
      <c r="D14" s="38"/>
      <c r="E14" s="44"/>
      <c r="F14" s="38"/>
      <c r="G14" s="39"/>
      <c r="H14" s="45" t="str">
        <f aca="true">IF(OR(B14="",G14=""),"",IF(OR(L14="Submitted",L14="Won",L14="Lost",L14="Withdrawn"),"",G14-TODAY()))</f>
        <v/>
      </c>
      <c r="I14" s="46"/>
      <c r="J14" s="41"/>
      <c r="K14" s="38"/>
      <c r="L14" s="38"/>
      <c r="M14" s="39"/>
      <c r="N14" s="39"/>
      <c r="O14" s="38"/>
      <c r="P14" s="38"/>
      <c r="Q14" s="42" t="str">
        <f aca="false">IF(B14="","",IF(AND(OR(L14="Won",L14="Lost"),N14=""),"Add the result date",IF(OR(L14="Won",L14="Lost"),IF(O14="","Ask the buyer for scores and feedback",IF(P14="","Write 1–3 lessons","Done")),IF(L14="Withdrawn","Done",IF(L14="Submitted","Wait for the result – diary the date given",IF(L14="Clarification","Answer the buyer’s questions by their deadline",IF(J14="No bid","Not bidding – set status to Withdrawn",IF(J14&lt;&gt;"Bid","Score it with ARB-BD-05, then decide",IF(AND(ISNUMBER(H14),H14&lt;0),"Deadline passed – check the portal",IF(AND(ISNUMBER(H14),H14&lt;=Lists!$N$5),"Final checks – submit at least a day early","Book writing time in the diary"))))))))))</f>
        <v/>
      </c>
      <c r="R14" s="42" t="str">
        <f aca="false">IF(ISNUMBER(H14),IF(AND(H14&gt;=0,H14&lt;=Lists!$N$4),G14+ROW()/100000,""),"")</f>
        <v/>
      </c>
    </row>
    <row r="15" customFormat="false" ht="27.75" hidden="false" customHeight="true" outlineLevel="0" collapsed="false">
      <c r="A15" s="38"/>
      <c r="B15" s="38"/>
      <c r="C15" s="38"/>
      <c r="D15" s="38"/>
      <c r="E15" s="44"/>
      <c r="F15" s="38"/>
      <c r="G15" s="39"/>
      <c r="H15" s="45" t="str">
        <f aca="true">IF(OR(B15="",G15=""),"",IF(OR(L15="Submitted",L15="Won",L15="Lost",L15="Withdrawn"),"",G15-TODAY()))</f>
        <v/>
      </c>
      <c r="I15" s="46"/>
      <c r="J15" s="41"/>
      <c r="K15" s="38"/>
      <c r="L15" s="38"/>
      <c r="M15" s="39"/>
      <c r="N15" s="39"/>
      <c r="O15" s="38"/>
      <c r="P15" s="38"/>
      <c r="Q15" s="42" t="str">
        <f aca="false">IF(B15="","",IF(AND(OR(L15="Won",L15="Lost"),N15=""),"Add the result date",IF(OR(L15="Won",L15="Lost"),IF(O15="","Ask the buyer for scores and feedback",IF(P15="","Write 1–3 lessons","Done")),IF(L15="Withdrawn","Done",IF(L15="Submitted","Wait for the result – diary the date given",IF(L15="Clarification","Answer the buyer’s questions by their deadline",IF(J15="No bid","Not bidding – set status to Withdrawn",IF(J15&lt;&gt;"Bid","Score it with ARB-BD-05, then decide",IF(AND(ISNUMBER(H15),H15&lt;0),"Deadline passed – check the portal",IF(AND(ISNUMBER(H15),H15&lt;=Lists!$N$5),"Final checks – submit at least a day early","Book writing time in the diary"))))))))))</f>
        <v/>
      </c>
      <c r="R15" s="42" t="str">
        <f aca="false">IF(ISNUMBER(H15),IF(AND(H15&gt;=0,H15&lt;=Lists!$N$4),G15+ROW()/100000,""),"")</f>
        <v/>
      </c>
    </row>
    <row r="16" customFormat="false" ht="27.75" hidden="false" customHeight="true" outlineLevel="0" collapsed="false">
      <c r="A16" s="38"/>
      <c r="B16" s="38"/>
      <c r="C16" s="38"/>
      <c r="D16" s="38"/>
      <c r="E16" s="44"/>
      <c r="F16" s="38"/>
      <c r="G16" s="39"/>
      <c r="H16" s="45" t="str">
        <f aca="true">IF(OR(B16="",G16=""),"",IF(OR(L16="Submitted",L16="Won",L16="Lost",L16="Withdrawn"),"",G16-TODAY()))</f>
        <v/>
      </c>
      <c r="I16" s="46"/>
      <c r="J16" s="41"/>
      <c r="K16" s="38"/>
      <c r="L16" s="38"/>
      <c r="M16" s="39"/>
      <c r="N16" s="39"/>
      <c r="O16" s="38"/>
      <c r="P16" s="38"/>
      <c r="Q16" s="42" t="str">
        <f aca="false">IF(B16="","",IF(AND(OR(L16="Won",L16="Lost"),N16=""),"Add the result date",IF(OR(L16="Won",L16="Lost"),IF(O16="","Ask the buyer for scores and feedback",IF(P16="","Write 1–3 lessons","Done")),IF(L16="Withdrawn","Done",IF(L16="Submitted","Wait for the result – diary the date given",IF(L16="Clarification","Answer the buyer’s questions by their deadline",IF(J16="No bid","Not bidding – set status to Withdrawn",IF(J16&lt;&gt;"Bid","Score it with ARB-BD-05, then decide",IF(AND(ISNUMBER(H16),H16&lt;0),"Deadline passed – check the portal",IF(AND(ISNUMBER(H16),H16&lt;=Lists!$N$5),"Final checks – submit at least a day early","Book writing time in the diary"))))))))))</f>
        <v/>
      </c>
      <c r="R16" s="42" t="str">
        <f aca="false">IF(ISNUMBER(H16),IF(AND(H16&gt;=0,H16&lt;=Lists!$N$4),G16+ROW()/100000,""),"")</f>
        <v/>
      </c>
    </row>
    <row r="17" customFormat="false" ht="27.75" hidden="false" customHeight="true" outlineLevel="0" collapsed="false">
      <c r="A17" s="38"/>
      <c r="B17" s="38"/>
      <c r="C17" s="38"/>
      <c r="D17" s="38"/>
      <c r="E17" s="44"/>
      <c r="F17" s="38"/>
      <c r="G17" s="39"/>
      <c r="H17" s="45" t="str">
        <f aca="true">IF(OR(B17="",G17=""),"",IF(OR(L17="Submitted",L17="Won",L17="Lost",L17="Withdrawn"),"",G17-TODAY()))</f>
        <v/>
      </c>
      <c r="I17" s="46"/>
      <c r="J17" s="41"/>
      <c r="K17" s="38"/>
      <c r="L17" s="38"/>
      <c r="M17" s="39"/>
      <c r="N17" s="39"/>
      <c r="O17" s="38"/>
      <c r="P17" s="38"/>
      <c r="Q17" s="42" t="str">
        <f aca="false">IF(B17="","",IF(AND(OR(L17="Won",L17="Lost"),N17=""),"Add the result date",IF(OR(L17="Won",L17="Lost"),IF(O17="","Ask the buyer for scores and feedback",IF(P17="","Write 1–3 lessons","Done")),IF(L17="Withdrawn","Done",IF(L17="Submitted","Wait for the result – diary the date given",IF(L17="Clarification","Answer the buyer’s questions by their deadline",IF(J17="No bid","Not bidding – set status to Withdrawn",IF(J17&lt;&gt;"Bid","Score it with ARB-BD-05, then decide",IF(AND(ISNUMBER(H17),H17&lt;0),"Deadline passed – check the portal",IF(AND(ISNUMBER(H17),H17&lt;=Lists!$N$5),"Final checks – submit at least a day early","Book writing time in the diary"))))))))))</f>
        <v/>
      </c>
      <c r="R17" s="42" t="str">
        <f aca="false">IF(ISNUMBER(H17),IF(AND(H17&gt;=0,H17&lt;=Lists!$N$4),G17+ROW()/100000,""),"")</f>
        <v/>
      </c>
    </row>
    <row r="18" customFormat="false" ht="27.75" hidden="false" customHeight="true" outlineLevel="0" collapsed="false">
      <c r="A18" s="38"/>
      <c r="B18" s="38"/>
      <c r="C18" s="38"/>
      <c r="D18" s="38"/>
      <c r="E18" s="44"/>
      <c r="F18" s="38"/>
      <c r="G18" s="39"/>
      <c r="H18" s="45" t="str">
        <f aca="true">IF(OR(B18="",G18=""),"",IF(OR(L18="Submitted",L18="Won",L18="Lost",L18="Withdrawn"),"",G18-TODAY()))</f>
        <v/>
      </c>
      <c r="I18" s="46"/>
      <c r="J18" s="41"/>
      <c r="K18" s="38"/>
      <c r="L18" s="38"/>
      <c r="M18" s="39"/>
      <c r="N18" s="39"/>
      <c r="O18" s="38"/>
      <c r="P18" s="38"/>
      <c r="Q18" s="42" t="str">
        <f aca="false">IF(B18="","",IF(AND(OR(L18="Won",L18="Lost"),N18=""),"Add the result date",IF(OR(L18="Won",L18="Lost"),IF(O18="","Ask the buyer for scores and feedback",IF(P18="","Write 1–3 lessons","Done")),IF(L18="Withdrawn","Done",IF(L18="Submitted","Wait for the result – diary the date given",IF(L18="Clarification","Answer the buyer’s questions by their deadline",IF(J18="No bid","Not bidding – set status to Withdrawn",IF(J18&lt;&gt;"Bid","Score it with ARB-BD-05, then decide",IF(AND(ISNUMBER(H18),H18&lt;0),"Deadline passed – check the portal",IF(AND(ISNUMBER(H18),H18&lt;=Lists!$N$5),"Final checks – submit at least a day early","Book writing time in the diary"))))))))))</f>
        <v/>
      </c>
      <c r="R18" s="42" t="str">
        <f aca="false">IF(ISNUMBER(H18),IF(AND(H18&gt;=0,H18&lt;=Lists!$N$4),G18+ROW()/100000,""),"")</f>
        <v/>
      </c>
    </row>
    <row r="19" customFormat="false" ht="27.75" hidden="false" customHeight="true" outlineLevel="0" collapsed="false">
      <c r="A19" s="38"/>
      <c r="B19" s="38"/>
      <c r="C19" s="38"/>
      <c r="D19" s="38"/>
      <c r="E19" s="44"/>
      <c r="F19" s="38"/>
      <c r="G19" s="39"/>
      <c r="H19" s="45" t="str">
        <f aca="true">IF(OR(B19="",G19=""),"",IF(OR(L19="Submitted",L19="Won",L19="Lost",L19="Withdrawn"),"",G19-TODAY()))</f>
        <v/>
      </c>
      <c r="I19" s="46"/>
      <c r="J19" s="41"/>
      <c r="K19" s="38"/>
      <c r="L19" s="38"/>
      <c r="M19" s="39"/>
      <c r="N19" s="39"/>
      <c r="O19" s="38"/>
      <c r="P19" s="38"/>
      <c r="Q19" s="42" t="str">
        <f aca="false">IF(B19="","",IF(AND(OR(L19="Won",L19="Lost"),N19=""),"Add the result date",IF(OR(L19="Won",L19="Lost"),IF(O19="","Ask the buyer for scores and feedback",IF(P19="","Write 1–3 lessons","Done")),IF(L19="Withdrawn","Done",IF(L19="Submitted","Wait for the result – diary the date given",IF(L19="Clarification","Answer the buyer’s questions by their deadline",IF(J19="No bid","Not bidding – set status to Withdrawn",IF(J19&lt;&gt;"Bid","Score it with ARB-BD-05, then decide",IF(AND(ISNUMBER(H19),H19&lt;0),"Deadline passed – check the portal",IF(AND(ISNUMBER(H19),H19&lt;=Lists!$N$5),"Final checks – submit at least a day early","Book writing time in the diary"))))))))))</f>
        <v/>
      </c>
      <c r="R19" s="42" t="str">
        <f aca="false">IF(ISNUMBER(H19),IF(AND(H19&gt;=0,H19&lt;=Lists!$N$4),G19+ROW()/100000,""),"")</f>
        <v/>
      </c>
    </row>
    <row r="20" customFormat="false" ht="27.75" hidden="false" customHeight="true" outlineLevel="0" collapsed="false">
      <c r="A20" s="38"/>
      <c r="B20" s="38"/>
      <c r="C20" s="38"/>
      <c r="D20" s="38"/>
      <c r="E20" s="44"/>
      <c r="F20" s="38"/>
      <c r="G20" s="39"/>
      <c r="H20" s="45" t="str">
        <f aca="true">IF(OR(B20="",G20=""),"",IF(OR(L20="Submitted",L20="Won",L20="Lost",L20="Withdrawn"),"",G20-TODAY()))</f>
        <v/>
      </c>
      <c r="I20" s="46"/>
      <c r="J20" s="41"/>
      <c r="K20" s="38"/>
      <c r="L20" s="38"/>
      <c r="M20" s="39"/>
      <c r="N20" s="39"/>
      <c r="O20" s="38"/>
      <c r="P20" s="38"/>
      <c r="Q20" s="42" t="str">
        <f aca="false">IF(B20="","",IF(AND(OR(L20="Won",L20="Lost"),N20=""),"Add the result date",IF(OR(L20="Won",L20="Lost"),IF(O20="","Ask the buyer for scores and feedback",IF(P20="","Write 1–3 lessons","Done")),IF(L20="Withdrawn","Done",IF(L20="Submitted","Wait for the result – diary the date given",IF(L20="Clarification","Answer the buyer’s questions by their deadline",IF(J20="No bid","Not bidding – set status to Withdrawn",IF(J20&lt;&gt;"Bid","Score it with ARB-BD-05, then decide",IF(AND(ISNUMBER(H20),H20&lt;0),"Deadline passed – check the portal",IF(AND(ISNUMBER(H20),H20&lt;=Lists!$N$5),"Final checks – submit at least a day early","Book writing time in the diary"))))))))))</f>
        <v/>
      </c>
      <c r="R20" s="42" t="str">
        <f aca="false">IF(ISNUMBER(H20),IF(AND(H20&gt;=0,H20&lt;=Lists!$N$4),G20+ROW()/100000,""),"")</f>
        <v/>
      </c>
    </row>
    <row r="21" customFormat="false" ht="27.75" hidden="false" customHeight="true" outlineLevel="0" collapsed="false">
      <c r="A21" s="38"/>
      <c r="B21" s="38"/>
      <c r="C21" s="38"/>
      <c r="D21" s="38"/>
      <c r="E21" s="44"/>
      <c r="F21" s="38"/>
      <c r="G21" s="39"/>
      <c r="H21" s="45" t="str">
        <f aca="true">IF(OR(B21="",G21=""),"",IF(OR(L21="Submitted",L21="Won",L21="Lost",L21="Withdrawn"),"",G21-TODAY()))</f>
        <v/>
      </c>
      <c r="I21" s="46"/>
      <c r="J21" s="41"/>
      <c r="K21" s="38"/>
      <c r="L21" s="38"/>
      <c r="M21" s="39"/>
      <c r="N21" s="39"/>
      <c r="O21" s="38"/>
      <c r="P21" s="38"/>
      <c r="Q21" s="42" t="str">
        <f aca="false">IF(B21="","",IF(AND(OR(L21="Won",L21="Lost"),N21=""),"Add the result date",IF(OR(L21="Won",L21="Lost"),IF(O21="","Ask the buyer for scores and feedback",IF(P21="","Write 1–3 lessons","Done")),IF(L21="Withdrawn","Done",IF(L21="Submitted","Wait for the result – diary the date given",IF(L21="Clarification","Answer the buyer’s questions by their deadline",IF(J21="No bid","Not bidding – set status to Withdrawn",IF(J21&lt;&gt;"Bid","Score it with ARB-BD-05, then decide",IF(AND(ISNUMBER(H21),H21&lt;0),"Deadline passed – check the portal",IF(AND(ISNUMBER(H21),H21&lt;=Lists!$N$5),"Final checks – submit at least a day early","Book writing time in the diary"))))))))))</f>
        <v/>
      </c>
      <c r="R21" s="42" t="str">
        <f aca="false">IF(ISNUMBER(H21),IF(AND(H21&gt;=0,H21&lt;=Lists!$N$4),G21+ROW()/100000,""),"")</f>
        <v/>
      </c>
    </row>
    <row r="22" customFormat="false" ht="27.75" hidden="false" customHeight="true" outlineLevel="0" collapsed="false">
      <c r="A22" s="38"/>
      <c r="B22" s="38"/>
      <c r="C22" s="38"/>
      <c r="D22" s="38"/>
      <c r="E22" s="44"/>
      <c r="F22" s="38"/>
      <c r="G22" s="39"/>
      <c r="H22" s="45" t="str">
        <f aca="true">IF(OR(B22="",G22=""),"",IF(OR(L22="Submitted",L22="Won",L22="Lost",L22="Withdrawn"),"",G22-TODAY()))</f>
        <v/>
      </c>
      <c r="I22" s="46"/>
      <c r="J22" s="41"/>
      <c r="K22" s="38"/>
      <c r="L22" s="38"/>
      <c r="M22" s="39"/>
      <c r="N22" s="39"/>
      <c r="O22" s="38"/>
      <c r="P22" s="38"/>
      <c r="Q22" s="42" t="str">
        <f aca="false">IF(B22="","",IF(AND(OR(L22="Won",L22="Lost"),N22=""),"Add the result date",IF(OR(L22="Won",L22="Lost"),IF(O22="","Ask the buyer for scores and feedback",IF(P22="","Write 1–3 lessons","Done")),IF(L22="Withdrawn","Done",IF(L22="Submitted","Wait for the result – diary the date given",IF(L22="Clarification","Answer the buyer’s questions by their deadline",IF(J22="No bid","Not bidding – set status to Withdrawn",IF(J22&lt;&gt;"Bid","Score it with ARB-BD-05, then decide",IF(AND(ISNUMBER(H22),H22&lt;0),"Deadline passed – check the portal",IF(AND(ISNUMBER(H22),H22&lt;=Lists!$N$5),"Final checks – submit at least a day early","Book writing time in the diary"))))))))))</f>
        <v/>
      </c>
      <c r="R22" s="42" t="str">
        <f aca="false">IF(ISNUMBER(H22),IF(AND(H22&gt;=0,H22&lt;=Lists!$N$4),G22+ROW()/100000,""),"")</f>
        <v/>
      </c>
    </row>
    <row r="23" customFormat="false" ht="27.75" hidden="false" customHeight="true" outlineLevel="0" collapsed="false">
      <c r="A23" s="38"/>
      <c r="B23" s="38"/>
      <c r="C23" s="38"/>
      <c r="D23" s="38"/>
      <c r="E23" s="44"/>
      <c r="F23" s="38"/>
      <c r="G23" s="39"/>
      <c r="H23" s="45" t="str">
        <f aca="true">IF(OR(B23="",G23=""),"",IF(OR(L23="Submitted",L23="Won",L23="Lost",L23="Withdrawn"),"",G23-TODAY()))</f>
        <v/>
      </c>
      <c r="I23" s="46"/>
      <c r="J23" s="41"/>
      <c r="K23" s="38"/>
      <c r="L23" s="38"/>
      <c r="M23" s="39"/>
      <c r="N23" s="39"/>
      <c r="O23" s="38"/>
      <c r="P23" s="38"/>
      <c r="Q23" s="42" t="str">
        <f aca="false">IF(B23="","",IF(AND(OR(L23="Won",L23="Lost"),N23=""),"Add the result date",IF(OR(L23="Won",L23="Lost"),IF(O23="","Ask the buyer for scores and feedback",IF(P23="","Write 1–3 lessons","Done")),IF(L23="Withdrawn","Done",IF(L23="Submitted","Wait for the result – diary the date given",IF(L23="Clarification","Answer the buyer’s questions by their deadline",IF(J23="No bid","Not bidding – set status to Withdrawn",IF(J23&lt;&gt;"Bid","Score it with ARB-BD-05, then decide",IF(AND(ISNUMBER(H23),H23&lt;0),"Deadline passed – check the portal",IF(AND(ISNUMBER(H23),H23&lt;=Lists!$N$5),"Final checks – submit at least a day early","Book writing time in the diary"))))))))))</f>
        <v/>
      </c>
      <c r="R23" s="42" t="str">
        <f aca="false">IF(ISNUMBER(H23),IF(AND(H23&gt;=0,H23&lt;=Lists!$N$4),G23+ROW()/100000,""),"")</f>
        <v/>
      </c>
    </row>
    <row r="24" customFormat="false" ht="27.75" hidden="false" customHeight="true" outlineLevel="0" collapsed="false">
      <c r="A24" s="38"/>
      <c r="B24" s="38"/>
      <c r="C24" s="38"/>
      <c r="D24" s="38"/>
      <c r="E24" s="44"/>
      <c r="F24" s="38"/>
      <c r="G24" s="39"/>
      <c r="H24" s="45" t="str">
        <f aca="true">IF(OR(B24="",G24=""),"",IF(OR(L24="Submitted",L24="Won",L24="Lost",L24="Withdrawn"),"",G24-TODAY()))</f>
        <v/>
      </c>
      <c r="I24" s="46"/>
      <c r="J24" s="41"/>
      <c r="K24" s="38"/>
      <c r="L24" s="38"/>
      <c r="M24" s="39"/>
      <c r="N24" s="39"/>
      <c r="O24" s="38"/>
      <c r="P24" s="38"/>
      <c r="Q24" s="42" t="str">
        <f aca="false">IF(B24="","",IF(AND(OR(L24="Won",L24="Lost"),N24=""),"Add the result date",IF(OR(L24="Won",L24="Lost"),IF(O24="","Ask the buyer for scores and feedback",IF(P24="","Write 1–3 lessons","Done")),IF(L24="Withdrawn","Done",IF(L24="Submitted","Wait for the result – diary the date given",IF(L24="Clarification","Answer the buyer’s questions by their deadline",IF(J24="No bid","Not bidding – set status to Withdrawn",IF(J24&lt;&gt;"Bid","Score it with ARB-BD-05, then decide",IF(AND(ISNUMBER(H24),H24&lt;0),"Deadline passed – check the portal",IF(AND(ISNUMBER(H24),H24&lt;=Lists!$N$5),"Final checks – submit at least a day early","Book writing time in the diary"))))))))))</f>
        <v/>
      </c>
      <c r="R24" s="42" t="str">
        <f aca="false">IF(ISNUMBER(H24),IF(AND(H24&gt;=0,H24&lt;=Lists!$N$4),G24+ROW()/100000,""),"")</f>
        <v/>
      </c>
    </row>
    <row r="25" customFormat="false" ht="27.75" hidden="false" customHeight="true" outlineLevel="0" collapsed="false">
      <c r="A25" s="38"/>
      <c r="B25" s="38"/>
      <c r="C25" s="38"/>
      <c r="D25" s="38"/>
      <c r="E25" s="44"/>
      <c r="F25" s="38"/>
      <c r="G25" s="39"/>
      <c r="H25" s="45" t="str">
        <f aca="true">IF(OR(B25="",G25=""),"",IF(OR(L25="Submitted",L25="Won",L25="Lost",L25="Withdrawn"),"",G25-TODAY()))</f>
        <v/>
      </c>
      <c r="I25" s="46"/>
      <c r="J25" s="41"/>
      <c r="K25" s="38"/>
      <c r="L25" s="38"/>
      <c r="M25" s="39"/>
      <c r="N25" s="39"/>
      <c r="O25" s="38"/>
      <c r="P25" s="38"/>
      <c r="Q25" s="42" t="str">
        <f aca="false">IF(B25="","",IF(AND(OR(L25="Won",L25="Lost"),N25=""),"Add the result date",IF(OR(L25="Won",L25="Lost"),IF(O25="","Ask the buyer for scores and feedback",IF(P25="","Write 1–3 lessons","Done")),IF(L25="Withdrawn","Done",IF(L25="Submitted","Wait for the result – diary the date given",IF(L25="Clarification","Answer the buyer’s questions by their deadline",IF(J25="No bid","Not bidding – set status to Withdrawn",IF(J25&lt;&gt;"Bid","Score it with ARB-BD-05, then decide",IF(AND(ISNUMBER(H25),H25&lt;0),"Deadline passed – check the portal",IF(AND(ISNUMBER(H25),H25&lt;=Lists!$N$5),"Final checks – submit at least a day early","Book writing time in the diary"))))))))))</f>
        <v/>
      </c>
      <c r="R25" s="42" t="str">
        <f aca="false">IF(ISNUMBER(H25),IF(AND(H25&gt;=0,H25&lt;=Lists!$N$4),G25+ROW()/100000,""),"")</f>
        <v/>
      </c>
    </row>
    <row r="26" customFormat="false" ht="27.75" hidden="false" customHeight="true" outlineLevel="0" collapsed="false">
      <c r="A26" s="38"/>
      <c r="B26" s="38"/>
      <c r="C26" s="38"/>
      <c r="D26" s="38"/>
      <c r="E26" s="44"/>
      <c r="F26" s="38"/>
      <c r="G26" s="39"/>
      <c r="H26" s="45" t="str">
        <f aca="true">IF(OR(B26="",G26=""),"",IF(OR(L26="Submitted",L26="Won",L26="Lost",L26="Withdrawn"),"",G26-TODAY()))</f>
        <v/>
      </c>
      <c r="I26" s="46"/>
      <c r="J26" s="41"/>
      <c r="K26" s="38"/>
      <c r="L26" s="38"/>
      <c r="M26" s="39"/>
      <c r="N26" s="39"/>
      <c r="O26" s="38"/>
      <c r="P26" s="38"/>
      <c r="Q26" s="42" t="str">
        <f aca="false">IF(B26="","",IF(AND(OR(L26="Won",L26="Lost"),N26=""),"Add the result date",IF(OR(L26="Won",L26="Lost"),IF(O26="","Ask the buyer for scores and feedback",IF(P26="","Write 1–3 lessons","Done")),IF(L26="Withdrawn","Done",IF(L26="Submitted","Wait for the result – diary the date given",IF(L26="Clarification","Answer the buyer’s questions by their deadline",IF(J26="No bid","Not bidding – set status to Withdrawn",IF(J26&lt;&gt;"Bid","Score it with ARB-BD-05, then decide",IF(AND(ISNUMBER(H26),H26&lt;0),"Deadline passed – check the portal",IF(AND(ISNUMBER(H26),H26&lt;=Lists!$N$5),"Final checks – submit at least a day early","Book writing time in the diary"))))))))))</f>
        <v/>
      </c>
      <c r="R26" s="42" t="str">
        <f aca="false">IF(ISNUMBER(H26),IF(AND(H26&gt;=0,H26&lt;=Lists!$N$4),G26+ROW()/100000,""),"")</f>
        <v/>
      </c>
    </row>
    <row r="27" customFormat="false" ht="27.75" hidden="false" customHeight="true" outlineLevel="0" collapsed="false">
      <c r="A27" s="38"/>
      <c r="B27" s="38"/>
      <c r="C27" s="38"/>
      <c r="D27" s="38"/>
      <c r="E27" s="44"/>
      <c r="F27" s="38"/>
      <c r="G27" s="39"/>
      <c r="H27" s="45" t="str">
        <f aca="true">IF(OR(B27="",G27=""),"",IF(OR(L27="Submitted",L27="Won",L27="Lost",L27="Withdrawn"),"",G27-TODAY()))</f>
        <v/>
      </c>
      <c r="I27" s="46"/>
      <c r="J27" s="41"/>
      <c r="K27" s="38"/>
      <c r="L27" s="38"/>
      <c r="M27" s="39"/>
      <c r="N27" s="39"/>
      <c r="O27" s="38"/>
      <c r="P27" s="38"/>
      <c r="Q27" s="42" t="str">
        <f aca="false">IF(B27="","",IF(AND(OR(L27="Won",L27="Lost"),N27=""),"Add the result date",IF(OR(L27="Won",L27="Lost"),IF(O27="","Ask the buyer for scores and feedback",IF(P27="","Write 1–3 lessons","Done")),IF(L27="Withdrawn","Done",IF(L27="Submitted","Wait for the result – diary the date given",IF(L27="Clarification","Answer the buyer’s questions by their deadline",IF(J27="No bid","Not bidding – set status to Withdrawn",IF(J27&lt;&gt;"Bid","Score it with ARB-BD-05, then decide",IF(AND(ISNUMBER(H27),H27&lt;0),"Deadline passed – check the portal",IF(AND(ISNUMBER(H27),H27&lt;=Lists!$N$5),"Final checks – submit at least a day early","Book writing time in the diary"))))))))))</f>
        <v/>
      </c>
      <c r="R27" s="42" t="str">
        <f aca="false">IF(ISNUMBER(H27),IF(AND(H27&gt;=0,H27&lt;=Lists!$N$4),G27+ROW()/100000,""),"")</f>
        <v/>
      </c>
    </row>
    <row r="28" customFormat="false" ht="27.75" hidden="false" customHeight="true" outlineLevel="0" collapsed="false">
      <c r="A28" s="38"/>
      <c r="B28" s="38"/>
      <c r="C28" s="38"/>
      <c r="D28" s="38"/>
      <c r="E28" s="44"/>
      <c r="F28" s="38"/>
      <c r="G28" s="39"/>
      <c r="H28" s="45" t="str">
        <f aca="true">IF(OR(B28="",G28=""),"",IF(OR(L28="Submitted",L28="Won",L28="Lost",L28="Withdrawn"),"",G28-TODAY()))</f>
        <v/>
      </c>
      <c r="I28" s="46"/>
      <c r="J28" s="41"/>
      <c r="K28" s="38"/>
      <c r="L28" s="38"/>
      <c r="M28" s="39"/>
      <c r="N28" s="39"/>
      <c r="O28" s="38"/>
      <c r="P28" s="38"/>
      <c r="Q28" s="42" t="str">
        <f aca="false">IF(B28="","",IF(AND(OR(L28="Won",L28="Lost"),N28=""),"Add the result date",IF(OR(L28="Won",L28="Lost"),IF(O28="","Ask the buyer for scores and feedback",IF(P28="","Write 1–3 lessons","Done")),IF(L28="Withdrawn","Done",IF(L28="Submitted","Wait for the result – diary the date given",IF(L28="Clarification","Answer the buyer’s questions by their deadline",IF(J28="No bid","Not bidding – set status to Withdrawn",IF(J28&lt;&gt;"Bid","Score it with ARB-BD-05, then decide",IF(AND(ISNUMBER(H28),H28&lt;0),"Deadline passed – check the portal",IF(AND(ISNUMBER(H28),H28&lt;=Lists!$N$5),"Final checks – submit at least a day early","Book writing time in the diary"))))))))))</f>
        <v/>
      </c>
      <c r="R28" s="42" t="str">
        <f aca="false">IF(ISNUMBER(H28),IF(AND(H28&gt;=0,H28&lt;=Lists!$N$4),G28+ROW()/100000,""),"")</f>
        <v/>
      </c>
    </row>
    <row r="29" customFormat="false" ht="27.75" hidden="false" customHeight="true" outlineLevel="0" collapsed="false">
      <c r="A29" s="38"/>
      <c r="B29" s="38"/>
      <c r="C29" s="38"/>
      <c r="D29" s="38"/>
      <c r="E29" s="44"/>
      <c r="F29" s="38"/>
      <c r="G29" s="39"/>
      <c r="H29" s="45" t="str">
        <f aca="true">IF(OR(B29="",G29=""),"",IF(OR(L29="Submitted",L29="Won",L29="Lost",L29="Withdrawn"),"",G29-TODAY()))</f>
        <v/>
      </c>
      <c r="I29" s="46"/>
      <c r="J29" s="41"/>
      <c r="K29" s="38"/>
      <c r="L29" s="38"/>
      <c r="M29" s="39"/>
      <c r="N29" s="39"/>
      <c r="O29" s="38"/>
      <c r="P29" s="38"/>
      <c r="Q29" s="42" t="str">
        <f aca="false">IF(B29="","",IF(AND(OR(L29="Won",L29="Lost"),N29=""),"Add the result date",IF(OR(L29="Won",L29="Lost"),IF(O29="","Ask the buyer for scores and feedback",IF(P29="","Write 1–3 lessons","Done")),IF(L29="Withdrawn","Done",IF(L29="Submitted","Wait for the result – diary the date given",IF(L29="Clarification","Answer the buyer’s questions by their deadline",IF(J29="No bid","Not bidding – set status to Withdrawn",IF(J29&lt;&gt;"Bid","Score it with ARB-BD-05, then decide",IF(AND(ISNUMBER(H29),H29&lt;0),"Deadline passed – check the portal",IF(AND(ISNUMBER(H29),H29&lt;=Lists!$N$5),"Final checks – submit at least a day early","Book writing time in the diary"))))))))))</f>
        <v/>
      </c>
      <c r="R29" s="42" t="str">
        <f aca="false">IF(ISNUMBER(H29),IF(AND(H29&gt;=0,H29&lt;=Lists!$N$4),G29+ROW()/100000,""),"")</f>
        <v/>
      </c>
    </row>
    <row r="30" customFormat="false" ht="27.75" hidden="false" customHeight="true" outlineLevel="0" collapsed="false">
      <c r="A30" s="38"/>
      <c r="B30" s="38"/>
      <c r="C30" s="38"/>
      <c r="D30" s="38"/>
      <c r="E30" s="44"/>
      <c r="F30" s="38"/>
      <c r="G30" s="39"/>
      <c r="H30" s="45" t="str">
        <f aca="true">IF(OR(B30="",G30=""),"",IF(OR(L30="Submitted",L30="Won",L30="Lost",L30="Withdrawn"),"",G30-TODAY()))</f>
        <v/>
      </c>
      <c r="I30" s="46"/>
      <c r="J30" s="41"/>
      <c r="K30" s="38"/>
      <c r="L30" s="38"/>
      <c r="M30" s="39"/>
      <c r="N30" s="39"/>
      <c r="O30" s="38"/>
      <c r="P30" s="38"/>
      <c r="Q30" s="42" t="str">
        <f aca="false">IF(B30="","",IF(AND(OR(L30="Won",L30="Lost"),N30=""),"Add the result date",IF(OR(L30="Won",L30="Lost"),IF(O30="","Ask the buyer for scores and feedback",IF(P30="","Write 1–3 lessons","Done")),IF(L30="Withdrawn","Done",IF(L30="Submitted","Wait for the result – diary the date given",IF(L30="Clarification","Answer the buyer’s questions by their deadline",IF(J30="No bid","Not bidding – set status to Withdrawn",IF(J30&lt;&gt;"Bid","Score it with ARB-BD-05, then decide",IF(AND(ISNUMBER(H30),H30&lt;0),"Deadline passed – check the portal",IF(AND(ISNUMBER(H30),H30&lt;=Lists!$N$5),"Final checks – submit at least a day early","Book writing time in the diary"))))))))))</f>
        <v/>
      </c>
      <c r="R30" s="42" t="str">
        <f aca="false">IF(ISNUMBER(H30),IF(AND(H30&gt;=0,H30&lt;=Lists!$N$4),G30+ROW()/100000,""),"")</f>
        <v/>
      </c>
    </row>
    <row r="31" customFormat="false" ht="27.75" hidden="false" customHeight="true" outlineLevel="0" collapsed="false">
      <c r="A31" s="38"/>
      <c r="B31" s="38"/>
      <c r="C31" s="38"/>
      <c r="D31" s="38"/>
      <c r="E31" s="44"/>
      <c r="F31" s="38"/>
      <c r="G31" s="39"/>
      <c r="H31" s="45" t="str">
        <f aca="true">IF(OR(B31="",G31=""),"",IF(OR(L31="Submitted",L31="Won",L31="Lost",L31="Withdrawn"),"",G31-TODAY()))</f>
        <v/>
      </c>
      <c r="I31" s="46"/>
      <c r="J31" s="41"/>
      <c r="K31" s="38"/>
      <c r="L31" s="38"/>
      <c r="M31" s="39"/>
      <c r="N31" s="39"/>
      <c r="O31" s="38"/>
      <c r="P31" s="38"/>
      <c r="Q31" s="42" t="str">
        <f aca="false">IF(B31="","",IF(AND(OR(L31="Won",L31="Lost"),N31=""),"Add the result date",IF(OR(L31="Won",L31="Lost"),IF(O31="","Ask the buyer for scores and feedback",IF(P31="","Write 1–3 lessons","Done")),IF(L31="Withdrawn","Done",IF(L31="Submitted","Wait for the result – diary the date given",IF(L31="Clarification","Answer the buyer’s questions by their deadline",IF(J31="No bid","Not bidding – set status to Withdrawn",IF(J31&lt;&gt;"Bid","Score it with ARB-BD-05, then decide",IF(AND(ISNUMBER(H31),H31&lt;0),"Deadline passed – check the portal",IF(AND(ISNUMBER(H31),H31&lt;=Lists!$N$5),"Final checks – submit at least a day early","Book writing time in the diary"))))))))))</f>
        <v/>
      </c>
      <c r="R31" s="42" t="str">
        <f aca="false">IF(ISNUMBER(H31),IF(AND(H31&gt;=0,H31&lt;=Lists!$N$4),G31+ROW()/100000,""),"")</f>
        <v/>
      </c>
    </row>
    <row r="32" customFormat="false" ht="27.75" hidden="false" customHeight="true" outlineLevel="0" collapsed="false">
      <c r="A32" s="38"/>
      <c r="B32" s="38"/>
      <c r="C32" s="38"/>
      <c r="D32" s="38"/>
      <c r="E32" s="44"/>
      <c r="F32" s="38"/>
      <c r="G32" s="39"/>
      <c r="H32" s="45" t="str">
        <f aca="true">IF(OR(B32="",G32=""),"",IF(OR(L32="Submitted",L32="Won",L32="Lost",L32="Withdrawn"),"",G32-TODAY()))</f>
        <v/>
      </c>
      <c r="I32" s="46"/>
      <c r="J32" s="41"/>
      <c r="K32" s="38"/>
      <c r="L32" s="38"/>
      <c r="M32" s="39"/>
      <c r="N32" s="39"/>
      <c r="O32" s="38"/>
      <c r="P32" s="38"/>
      <c r="Q32" s="42" t="str">
        <f aca="false">IF(B32="","",IF(AND(OR(L32="Won",L32="Lost"),N32=""),"Add the result date",IF(OR(L32="Won",L32="Lost"),IF(O32="","Ask the buyer for scores and feedback",IF(P32="","Write 1–3 lessons","Done")),IF(L32="Withdrawn","Done",IF(L32="Submitted","Wait for the result – diary the date given",IF(L32="Clarification","Answer the buyer’s questions by their deadline",IF(J32="No bid","Not bidding – set status to Withdrawn",IF(J32&lt;&gt;"Bid","Score it with ARB-BD-05, then decide",IF(AND(ISNUMBER(H32),H32&lt;0),"Deadline passed – check the portal",IF(AND(ISNUMBER(H32),H32&lt;=Lists!$N$5),"Final checks – submit at least a day early","Book writing time in the diary"))))))))))</f>
        <v/>
      </c>
      <c r="R32" s="42" t="str">
        <f aca="false">IF(ISNUMBER(H32),IF(AND(H32&gt;=0,H32&lt;=Lists!$N$4),G32+ROW()/100000,""),"")</f>
        <v/>
      </c>
    </row>
    <row r="33" customFormat="false" ht="27.75" hidden="false" customHeight="true" outlineLevel="0" collapsed="false">
      <c r="A33" s="38"/>
      <c r="B33" s="38"/>
      <c r="C33" s="38"/>
      <c r="D33" s="38"/>
      <c r="E33" s="44"/>
      <c r="F33" s="38"/>
      <c r="G33" s="39"/>
      <c r="H33" s="45" t="str">
        <f aca="true">IF(OR(B33="",G33=""),"",IF(OR(L33="Submitted",L33="Won",L33="Lost",L33="Withdrawn"),"",G33-TODAY()))</f>
        <v/>
      </c>
      <c r="I33" s="46"/>
      <c r="J33" s="41"/>
      <c r="K33" s="38"/>
      <c r="L33" s="38"/>
      <c r="M33" s="39"/>
      <c r="N33" s="39"/>
      <c r="O33" s="38"/>
      <c r="P33" s="38"/>
      <c r="Q33" s="42" t="str">
        <f aca="false">IF(B33="","",IF(AND(OR(L33="Won",L33="Lost"),N33=""),"Add the result date",IF(OR(L33="Won",L33="Lost"),IF(O33="","Ask the buyer for scores and feedback",IF(P33="","Write 1–3 lessons","Done")),IF(L33="Withdrawn","Done",IF(L33="Submitted","Wait for the result – diary the date given",IF(L33="Clarification","Answer the buyer’s questions by their deadline",IF(J33="No bid","Not bidding – set status to Withdrawn",IF(J33&lt;&gt;"Bid","Score it with ARB-BD-05, then decide",IF(AND(ISNUMBER(H33),H33&lt;0),"Deadline passed – check the portal",IF(AND(ISNUMBER(H33),H33&lt;=Lists!$N$5),"Final checks – submit at least a day early","Book writing time in the diary"))))))))))</f>
        <v/>
      </c>
      <c r="R33" s="42" t="str">
        <f aca="false">IF(ISNUMBER(H33),IF(AND(H33&gt;=0,H33&lt;=Lists!$N$4),G33+ROW()/100000,""),"")</f>
        <v/>
      </c>
    </row>
    <row r="34" customFormat="false" ht="27.75" hidden="false" customHeight="true" outlineLevel="0" collapsed="false">
      <c r="A34" s="38"/>
      <c r="B34" s="38"/>
      <c r="C34" s="38"/>
      <c r="D34" s="38"/>
      <c r="E34" s="44"/>
      <c r="F34" s="38"/>
      <c r="G34" s="39"/>
      <c r="H34" s="45" t="str">
        <f aca="true">IF(OR(B34="",G34=""),"",IF(OR(L34="Submitted",L34="Won",L34="Lost",L34="Withdrawn"),"",G34-TODAY()))</f>
        <v/>
      </c>
      <c r="I34" s="46"/>
      <c r="J34" s="41"/>
      <c r="K34" s="38"/>
      <c r="L34" s="38"/>
      <c r="M34" s="39"/>
      <c r="N34" s="39"/>
      <c r="O34" s="38"/>
      <c r="P34" s="38"/>
      <c r="Q34" s="42" t="str">
        <f aca="false">IF(B34="","",IF(AND(OR(L34="Won",L34="Lost"),N34=""),"Add the result date",IF(OR(L34="Won",L34="Lost"),IF(O34="","Ask the buyer for scores and feedback",IF(P34="","Write 1–3 lessons","Done")),IF(L34="Withdrawn","Done",IF(L34="Submitted","Wait for the result – diary the date given",IF(L34="Clarification","Answer the buyer’s questions by their deadline",IF(J34="No bid","Not bidding – set status to Withdrawn",IF(J34&lt;&gt;"Bid","Score it with ARB-BD-05, then decide",IF(AND(ISNUMBER(H34),H34&lt;0),"Deadline passed – check the portal",IF(AND(ISNUMBER(H34),H34&lt;=Lists!$N$5),"Final checks – submit at least a day early","Book writing time in the diary"))))))))))</f>
        <v/>
      </c>
      <c r="R34" s="42" t="str">
        <f aca="false">IF(ISNUMBER(H34),IF(AND(H34&gt;=0,H34&lt;=Lists!$N$4),G34+ROW()/100000,""),"")</f>
        <v/>
      </c>
    </row>
    <row r="35" customFormat="false" ht="27.75" hidden="false" customHeight="true" outlineLevel="0" collapsed="false">
      <c r="A35" s="38"/>
      <c r="B35" s="38"/>
      <c r="C35" s="38"/>
      <c r="D35" s="38"/>
      <c r="E35" s="44"/>
      <c r="F35" s="38"/>
      <c r="G35" s="39"/>
      <c r="H35" s="45" t="str">
        <f aca="true">IF(OR(B35="",G35=""),"",IF(OR(L35="Submitted",L35="Won",L35="Lost",L35="Withdrawn"),"",G35-TODAY()))</f>
        <v/>
      </c>
      <c r="I35" s="46"/>
      <c r="J35" s="41"/>
      <c r="K35" s="38"/>
      <c r="L35" s="38"/>
      <c r="M35" s="39"/>
      <c r="N35" s="39"/>
      <c r="O35" s="38"/>
      <c r="P35" s="38"/>
      <c r="Q35" s="42" t="str">
        <f aca="false">IF(B35="","",IF(AND(OR(L35="Won",L35="Lost"),N35=""),"Add the result date",IF(OR(L35="Won",L35="Lost"),IF(O35="","Ask the buyer for scores and feedback",IF(P35="","Write 1–3 lessons","Done")),IF(L35="Withdrawn","Done",IF(L35="Submitted","Wait for the result – diary the date given",IF(L35="Clarification","Answer the buyer’s questions by their deadline",IF(J35="No bid","Not bidding – set status to Withdrawn",IF(J35&lt;&gt;"Bid","Score it with ARB-BD-05, then decide",IF(AND(ISNUMBER(H35),H35&lt;0),"Deadline passed – check the portal",IF(AND(ISNUMBER(H35),H35&lt;=Lists!$N$5),"Final checks – submit at least a day early","Book writing time in the diary"))))))))))</f>
        <v/>
      </c>
      <c r="R35" s="42" t="str">
        <f aca="false">IF(ISNUMBER(H35),IF(AND(H35&gt;=0,H35&lt;=Lists!$N$4),G35+ROW()/100000,""),"")</f>
        <v/>
      </c>
    </row>
    <row r="36" customFormat="false" ht="27.75" hidden="false" customHeight="true" outlineLevel="0" collapsed="false">
      <c r="A36" s="38"/>
      <c r="B36" s="38"/>
      <c r="C36" s="38"/>
      <c r="D36" s="38"/>
      <c r="E36" s="44"/>
      <c r="F36" s="38"/>
      <c r="G36" s="39"/>
      <c r="H36" s="45" t="str">
        <f aca="true">IF(OR(B36="",G36=""),"",IF(OR(L36="Submitted",L36="Won",L36="Lost",L36="Withdrawn"),"",G36-TODAY()))</f>
        <v/>
      </c>
      <c r="I36" s="46"/>
      <c r="J36" s="41"/>
      <c r="K36" s="38"/>
      <c r="L36" s="38"/>
      <c r="M36" s="39"/>
      <c r="N36" s="39"/>
      <c r="O36" s="38"/>
      <c r="P36" s="38"/>
      <c r="Q36" s="42" t="str">
        <f aca="false">IF(B36="","",IF(AND(OR(L36="Won",L36="Lost"),N36=""),"Add the result date",IF(OR(L36="Won",L36="Lost"),IF(O36="","Ask the buyer for scores and feedback",IF(P36="","Write 1–3 lessons","Done")),IF(L36="Withdrawn","Done",IF(L36="Submitted","Wait for the result – diary the date given",IF(L36="Clarification","Answer the buyer’s questions by their deadline",IF(J36="No bid","Not bidding – set status to Withdrawn",IF(J36&lt;&gt;"Bid","Score it with ARB-BD-05, then decide",IF(AND(ISNUMBER(H36),H36&lt;0),"Deadline passed – check the portal",IF(AND(ISNUMBER(H36),H36&lt;=Lists!$N$5),"Final checks – submit at least a day early","Book writing time in the diary"))))))))))</f>
        <v/>
      </c>
      <c r="R36" s="42" t="str">
        <f aca="false">IF(ISNUMBER(H36),IF(AND(H36&gt;=0,H36&lt;=Lists!$N$4),G36+ROW()/100000,""),"")</f>
        <v/>
      </c>
    </row>
    <row r="37" customFormat="false" ht="27.75" hidden="false" customHeight="true" outlineLevel="0" collapsed="false">
      <c r="A37" s="38"/>
      <c r="B37" s="38"/>
      <c r="C37" s="38"/>
      <c r="D37" s="38"/>
      <c r="E37" s="44"/>
      <c r="F37" s="38"/>
      <c r="G37" s="39"/>
      <c r="H37" s="45" t="str">
        <f aca="true">IF(OR(B37="",G37=""),"",IF(OR(L37="Submitted",L37="Won",L37="Lost",L37="Withdrawn"),"",G37-TODAY()))</f>
        <v/>
      </c>
      <c r="I37" s="46"/>
      <c r="J37" s="41"/>
      <c r="K37" s="38"/>
      <c r="L37" s="38"/>
      <c r="M37" s="39"/>
      <c r="N37" s="39"/>
      <c r="O37" s="38"/>
      <c r="P37" s="38"/>
      <c r="Q37" s="42" t="str">
        <f aca="false">IF(B37="","",IF(AND(OR(L37="Won",L37="Lost"),N37=""),"Add the result date",IF(OR(L37="Won",L37="Lost"),IF(O37="","Ask the buyer for scores and feedback",IF(P37="","Write 1–3 lessons","Done")),IF(L37="Withdrawn","Done",IF(L37="Submitted","Wait for the result – diary the date given",IF(L37="Clarification","Answer the buyer’s questions by their deadline",IF(J37="No bid","Not bidding – set status to Withdrawn",IF(J37&lt;&gt;"Bid","Score it with ARB-BD-05, then decide",IF(AND(ISNUMBER(H37),H37&lt;0),"Deadline passed – check the portal",IF(AND(ISNUMBER(H37),H37&lt;=Lists!$N$5),"Final checks – submit at least a day early","Book writing time in the diary"))))))))))</f>
        <v/>
      </c>
      <c r="R37" s="42" t="str">
        <f aca="false">IF(ISNUMBER(H37),IF(AND(H37&gt;=0,H37&lt;=Lists!$N$4),G37+ROW()/100000,""),"")</f>
        <v/>
      </c>
    </row>
    <row r="38" customFormat="false" ht="27.75" hidden="false" customHeight="true" outlineLevel="0" collapsed="false">
      <c r="A38" s="38"/>
      <c r="B38" s="38"/>
      <c r="C38" s="38"/>
      <c r="D38" s="38"/>
      <c r="E38" s="44"/>
      <c r="F38" s="38"/>
      <c r="G38" s="39"/>
      <c r="H38" s="45" t="str">
        <f aca="true">IF(OR(B38="",G38=""),"",IF(OR(L38="Submitted",L38="Won",L38="Lost",L38="Withdrawn"),"",G38-TODAY()))</f>
        <v/>
      </c>
      <c r="I38" s="46"/>
      <c r="J38" s="41"/>
      <c r="K38" s="38"/>
      <c r="L38" s="38"/>
      <c r="M38" s="39"/>
      <c r="N38" s="39"/>
      <c r="O38" s="38"/>
      <c r="P38" s="38"/>
      <c r="Q38" s="42" t="str">
        <f aca="false">IF(B38="","",IF(AND(OR(L38="Won",L38="Lost"),N38=""),"Add the result date",IF(OR(L38="Won",L38="Lost"),IF(O38="","Ask the buyer for scores and feedback",IF(P38="","Write 1–3 lessons","Done")),IF(L38="Withdrawn","Done",IF(L38="Submitted","Wait for the result – diary the date given",IF(L38="Clarification","Answer the buyer’s questions by their deadline",IF(J38="No bid","Not bidding – set status to Withdrawn",IF(J38&lt;&gt;"Bid","Score it with ARB-BD-05, then decide",IF(AND(ISNUMBER(H38),H38&lt;0),"Deadline passed – check the portal",IF(AND(ISNUMBER(H38),H38&lt;=Lists!$N$5),"Final checks – submit at least a day early","Book writing time in the diary"))))))))))</f>
        <v/>
      </c>
      <c r="R38" s="42" t="str">
        <f aca="false">IF(ISNUMBER(H38),IF(AND(H38&gt;=0,H38&lt;=Lists!$N$4),G38+ROW()/100000,""),"")</f>
        <v/>
      </c>
    </row>
    <row r="39" customFormat="false" ht="27.75" hidden="false" customHeight="true" outlineLevel="0" collapsed="false">
      <c r="A39" s="38"/>
      <c r="B39" s="38"/>
      <c r="C39" s="38"/>
      <c r="D39" s="38"/>
      <c r="E39" s="44"/>
      <c r="F39" s="38"/>
      <c r="G39" s="39"/>
      <c r="H39" s="45" t="str">
        <f aca="true">IF(OR(B39="",G39=""),"",IF(OR(L39="Submitted",L39="Won",L39="Lost",L39="Withdrawn"),"",G39-TODAY()))</f>
        <v/>
      </c>
      <c r="I39" s="46"/>
      <c r="J39" s="41"/>
      <c r="K39" s="38"/>
      <c r="L39" s="38"/>
      <c r="M39" s="39"/>
      <c r="N39" s="39"/>
      <c r="O39" s="38"/>
      <c r="P39" s="38"/>
      <c r="Q39" s="42" t="str">
        <f aca="false">IF(B39="","",IF(AND(OR(L39="Won",L39="Lost"),N39=""),"Add the result date",IF(OR(L39="Won",L39="Lost"),IF(O39="","Ask the buyer for scores and feedback",IF(P39="","Write 1–3 lessons","Done")),IF(L39="Withdrawn","Done",IF(L39="Submitted","Wait for the result – diary the date given",IF(L39="Clarification","Answer the buyer’s questions by their deadline",IF(J39="No bid","Not bidding – set status to Withdrawn",IF(J39&lt;&gt;"Bid","Score it with ARB-BD-05, then decide",IF(AND(ISNUMBER(H39),H39&lt;0),"Deadline passed – check the portal",IF(AND(ISNUMBER(H39),H39&lt;=Lists!$N$5),"Final checks – submit at least a day early","Book writing time in the diary"))))))))))</f>
        <v/>
      </c>
      <c r="R39" s="42" t="str">
        <f aca="false">IF(ISNUMBER(H39),IF(AND(H39&gt;=0,H39&lt;=Lists!$N$4),G39+ROW()/100000,""),"")</f>
        <v/>
      </c>
    </row>
    <row r="40" customFormat="false" ht="27.75" hidden="false" customHeight="true" outlineLevel="0" collapsed="false">
      <c r="A40" s="38"/>
      <c r="B40" s="38"/>
      <c r="C40" s="38"/>
      <c r="D40" s="38"/>
      <c r="E40" s="44"/>
      <c r="F40" s="38"/>
      <c r="G40" s="39"/>
      <c r="H40" s="45" t="str">
        <f aca="true">IF(OR(B40="",G40=""),"",IF(OR(L40="Submitted",L40="Won",L40="Lost",L40="Withdrawn"),"",G40-TODAY()))</f>
        <v/>
      </c>
      <c r="I40" s="46"/>
      <c r="J40" s="41"/>
      <c r="K40" s="38"/>
      <c r="L40" s="38"/>
      <c r="M40" s="39"/>
      <c r="N40" s="39"/>
      <c r="O40" s="38"/>
      <c r="P40" s="38"/>
      <c r="Q40" s="42" t="str">
        <f aca="false">IF(B40="","",IF(AND(OR(L40="Won",L40="Lost"),N40=""),"Add the result date",IF(OR(L40="Won",L40="Lost"),IF(O40="","Ask the buyer for scores and feedback",IF(P40="","Write 1–3 lessons","Done")),IF(L40="Withdrawn","Done",IF(L40="Submitted","Wait for the result – diary the date given",IF(L40="Clarification","Answer the buyer’s questions by their deadline",IF(J40="No bid","Not bidding – set status to Withdrawn",IF(J40&lt;&gt;"Bid","Score it with ARB-BD-05, then decide",IF(AND(ISNUMBER(H40),H40&lt;0),"Deadline passed – check the portal",IF(AND(ISNUMBER(H40),H40&lt;=Lists!$N$5),"Final checks – submit at least a day early","Book writing time in the diary"))))))))))</f>
        <v/>
      </c>
      <c r="R40" s="42" t="str">
        <f aca="false">IF(ISNUMBER(H40),IF(AND(H40&gt;=0,H40&lt;=Lists!$N$4),G40+ROW()/100000,""),"")</f>
        <v/>
      </c>
    </row>
    <row r="41" customFormat="false" ht="27.75" hidden="false" customHeight="true" outlineLevel="0" collapsed="false">
      <c r="A41" s="38"/>
      <c r="B41" s="38"/>
      <c r="C41" s="38"/>
      <c r="D41" s="38"/>
      <c r="E41" s="44"/>
      <c r="F41" s="38"/>
      <c r="G41" s="39"/>
      <c r="H41" s="45" t="str">
        <f aca="true">IF(OR(B41="",G41=""),"",IF(OR(L41="Submitted",L41="Won",L41="Lost",L41="Withdrawn"),"",G41-TODAY()))</f>
        <v/>
      </c>
      <c r="I41" s="46"/>
      <c r="J41" s="41"/>
      <c r="K41" s="38"/>
      <c r="L41" s="38"/>
      <c r="M41" s="39"/>
      <c r="N41" s="39"/>
      <c r="O41" s="38"/>
      <c r="P41" s="38"/>
      <c r="Q41" s="42" t="str">
        <f aca="false">IF(B41="","",IF(AND(OR(L41="Won",L41="Lost"),N41=""),"Add the result date",IF(OR(L41="Won",L41="Lost"),IF(O41="","Ask the buyer for scores and feedback",IF(P41="","Write 1–3 lessons","Done")),IF(L41="Withdrawn","Done",IF(L41="Submitted","Wait for the result – diary the date given",IF(L41="Clarification","Answer the buyer’s questions by their deadline",IF(J41="No bid","Not bidding – set status to Withdrawn",IF(J41&lt;&gt;"Bid","Score it with ARB-BD-05, then decide",IF(AND(ISNUMBER(H41),H41&lt;0),"Deadline passed – check the portal",IF(AND(ISNUMBER(H41),H41&lt;=Lists!$N$5),"Final checks – submit at least a day early","Book writing time in the diary"))))))))))</f>
        <v/>
      </c>
      <c r="R41" s="42" t="str">
        <f aca="false">IF(ISNUMBER(H41),IF(AND(H41&gt;=0,H41&lt;=Lists!$N$4),G41+ROW()/100000,""),"")</f>
        <v/>
      </c>
    </row>
    <row r="42" customFormat="false" ht="27.75" hidden="false" customHeight="true" outlineLevel="0" collapsed="false">
      <c r="A42" s="38"/>
      <c r="B42" s="38"/>
      <c r="C42" s="38"/>
      <c r="D42" s="38"/>
      <c r="E42" s="44"/>
      <c r="F42" s="38"/>
      <c r="G42" s="39"/>
      <c r="H42" s="45" t="str">
        <f aca="true">IF(OR(B42="",G42=""),"",IF(OR(L42="Submitted",L42="Won",L42="Lost",L42="Withdrawn"),"",G42-TODAY()))</f>
        <v/>
      </c>
      <c r="I42" s="46"/>
      <c r="J42" s="41"/>
      <c r="K42" s="38"/>
      <c r="L42" s="38"/>
      <c r="M42" s="39"/>
      <c r="N42" s="39"/>
      <c r="O42" s="38"/>
      <c r="P42" s="38"/>
      <c r="Q42" s="42" t="str">
        <f aca="false">IF(B42="","",IF(AND(OR(L42="Won",L42="Lost"),N42=""),"Add the result date",IF(OR(L42="Won",L42="Lost"),IF(O42="","Ask the buyer for scores and feedback",IF(P42="","Write 1–3 lessons","Done")),IF(L42="Withdrawn","Done",IF(L42="Submitted","Wait for the result – diary the date given",IF(L42="Clarification","Answer the buyer’s questions by their deadline",IF(J42="No bid","Not bidding – set status to Withdrawn",IF(J42&lt;&gt;"Bid","Score it with ARB-BD-05, then decide",IF(AND(ISNUMBER(H42),H42&lt;0),"Deadline passed – check the portal",IF(AND(ISNUMBER(H42),H42&lt;=Lists!$N$5),"Final checks – submit at least a day early","Book writing time in the diary"))))))))))</f>
        <v/>
      </c>
      <c r="R42" s="42" t="str">
        <f aca="false">IF(ISNUMBER(H42),IF(AND(H42&gt;=0,H42&lt;=Lists!$N$4),G42+ROW()/100000,""),"")</f>
        <v/>
      </c>
    </row>
    <row r="43" customFormat="false" ht="27.75" hidden="false" customHeight="true" outlineLevel="0" collapsed="false">
      <c r="A43" s="38"/>
      <c r="B43" s="38"/>
      <c r="C43" s="38"/>
      <c r="D43" s="38"/>
      <c r="E43" s="44"/>
      <c r="F43" s="38"/>
      <c r="G43" s="39"/>
      <c r="H43" s="45" t="str">
        <f aca="true">IF(OR(B43="",G43=""),"",IF(OR(L43="Submitted",L43="Won",L43="Lost",L43="Withdrawn"),"",G43-TODAY()))</f>
        <v/>
      </c>
      <c r="I43" s="46"/>
      <c r="J43" s="41"/>
      <c r="K43" s="38"/>
      <c r="L43" s="38"/>
      <c r="M43" s="39"/>
      <c r="N43" s="39"/>
      <c r="O43" s="38"/>
      <c r="P43" s="38"/>
      <c r="Q43" s="42" t="str">
        <f aca="false">IF(B43="","",IF(AND(OR(L43="Won",L43="Lost"),N43=""),"Add the result date",IF(OR(L43="Won",L43="Lost"),IF(O43="","Ask the buyer for scores and feedback",IF(P43="","Write 1–3 lessons","Done")),IF(L43="Withdrawn","Done",IF(L43="Submitted","Wait for the result – diary the date given",IF(L43="Clarification","Answer the buyer’s questions by their deadline",IF(J43="No bid","Not bidding – set status to Withdrawn",IF(J43&lt;&gt;"Bid","Score it with ARB-BD-05, then decide",IF(AND(ISNUMBER(H43),H43&lt;0),"Deadline passed – check the portal",IF(AND(ISNUMBER(H43),H43&lt;=Lists!$N$5),"Final checks – submit at least a day early","Book writing time in the diary"))))))))))</f>
        <v/>
      </c>
      <c r="R43" s="42" t="str">
        <f aca="false">IF(ISNUMBER(H43),IF(AND(H43&gt;=0,H43&lt;=Lists!$N$4),G43+ROW()/100000,""),"")</f>
        <v/>
      </c>
    </row>
    <row r="44" customFormat="false" ht="27.75" hidden="false" customHeight="true" outlineLevel="0" collapsed="false">
      <c r="A44" s="38"/>
      <c r="B44" s="38"/>
      <c r="C44" s="38"/>
      <c r="D44" s="38"/>
      <c r="E44" s="44"/>
      <c r="F44" s="38"/>
      <c r="G44" s="39"/>
      <c r="H44" s="45" t="str">
        <f aca="true">IF(OR(B44="",G44=""),"",IF(OR(L44="Submitted",L44="Won",L44="Lost",L44="Withdrawn"),"",G44-TODAY()))</f>
        <v/>
      </c>
      <c r="I44" s="46"/>
      <c r="J44" s="41"/>
      <c r="K44" s="38"/>
      <c r="L44" s="38"/>
      <c r="M44" s="39"/>
      <c r="N44" s="39"/>
      <c r="O44" s="38"/>
      <c r="P44" s="38"/>
      <c r="Q44" s="42" t="str">
        <f aca="false">IF(B44="","",IF(AND(OR(L44="Won",L44="Lost"),N44=""),"Add the result date",IF(OR(L44="Won",L44="Lost"),IF(O44="","Ask the buyer for scores and feedback",IF(P44="","Write 1–3 lessons","Done")),IF(L44="Withdrawn","Done",IF(L44="Submitted","Wait for the result – diary the date given",IF(L44="Clarification","Answer the buyer’s questions by their deadline",IF(J44="No bid","Not bidding – set status to Withdrawn",IF(J44&lt;&gt;"Bid","Score it with ARB-BD-05, then decide",IF(AND(ISNUMBER(H44),H44&lt;0),"Deadline passed – check the portal",IF(AND(ISNUMBER(H44),H44&lt;=Lists!$N$5),"Final checks – submit at least a day early","Book writing time in the diary"))))))))))</f>
        <v/>
      </c>
      <c r="R44" s="42" t="str">
        <f aca="false">IF(ISNUMBER(H44),IF(AND(H44&gt;=0,H44&lt;=Lists!$N$4),G44+ROW()/100000,""),"")</f>
        <v/>
      </c>
    </row>
    <row r="45" customFormat="false" ht="27.75" hidden="false" customHeight="true" outlineLevel="0" collapsed="false">
      <c r="A45" s="38"/>
      <c r="B45" s="38"/>
      <c r="C45" s="38"/>
      <c r="D45" s="38"/>
      <c r="E45" s="44"/>
      <c r="F45" s="38"/>
      <c r="G45" s="39"/>
      <c r="H45" s="45" t="str">
        <f aca="true">IF(OR(B45="",G45=""),"",IF(OR(L45="Submitted",L45="Won",L45="Lost",L45="Withdrawn"),"",G45-TODAY()))</f>
        <v/>
      </c>
      <c r="I45" s="46"/>
      <c r="J45" s="41"/>
      <c r="K45" s="38"/>
      <c r="L45" s="38"/>
      <c r="M45" s="39"/>
      <c r="N45" s="39"/>
      <c r="O45" s="38"/>
      <c r="P45" s="38"/>
      <c r="Q45" s="42" t="str">
        <f aca="false">IF(B45="","",IF(AND(OR(L45="Won",L45="Lost"),N45=""),"Add the result date",IF(OR(L45="Won",L45="Lost"),IF(O45="","Ask the buyer for scores and feedback",IF(P45="","Write 1–3 lessons","Done")),IF(L45="Withdrawn","Done",IF(L45="Submitted","Wait for the result – diary the date given",IF(L45="Clarification","Answer the buyer’s questions by their deadline",IF(J45="No bid","Not bidding – set status to Withdrawn",IF(J45&lt;&gt;"Bid","Score it with ARB-BD-05, then decide",IF(AND(ISNUMBER(H45),H45&lt;0),"Deadline passed – check the portal",IF(AND(ISNUMBER(H45),H45&lt;=Lists!$N$5),"Final checks – submit at least a day early","Book writing time in the diary"))))))))))</f>
        <v/>
      </c>
      <c r="R45" s="42" t="str">
        <f aca="false">IF(ISNUMBER(H45),IF(AND(H45&gt;=0,H45&lt;=Lists!$N$4),G45+ROW()/100000,""),"")</f>
        <v/>
      </c>
    </row>
    <row r="46" customFormat="false" ht="27.75" hidden="false" customHeight="true" outlineLevel="0" collapsed="false">
      <c r="A46" s="38"/>
      <c r="B46" s="38"/>
      <c r="C46" s="38"/>
      <c r="D46" s="38"/>
      <c r="E46" s="44"/>
      <c r="F46" s="38"/>
      <c r="G46" s="39"/>
      <c r="H46" s="45" t="str">
        <f aca="true">IF(OR(B46="",G46=""),"",IF(OR(L46="Submitted",L46="Won",L46="Lost",L46="Withdrawn"),"",G46-TODAY()))</f>
        <v/>
      </c>
      <c r="I46" s="46"/>
      <c r="J46" s="41"/>
      <c r="K46" s="38"/>
      <c r="L46" s="38"/>
      <c r="M46" s="39"/>
      <c r="N46" s="39"/>
      <c r="O46" s="38"/>
      <c r="P46" s="38"/>
      <c r="Q46" s="42" t="str">
        <f aca="false">IF(B46="","",IF(AND(OR(L46="Won",L46="Lost"),N46=""),"Add the result date",IF(OR(L46="Won",L46="Lost"),IF(O46="","Ask the buyer for scores and feedback",IF(P46="","Write 1–3 lessons","Done")),IF(L46="Withdrawn","Done",IF(L46="Submitted","Wait for the result – diary the date given",IF(L46="Clarification","Answer the buyer’s questions by their deadline",IF(J46="No bid","Not bidding – set status to Withdrawn",IF(J46&lt;&gt;"Bid","Score it with ARB-BD-05, then decide",IF(AND(ISNUMBER(H46),H46&lt;0),"Deadline passed – check the portal",IF(AND(ISNUMBER(H46),H46&lt;=Lists!$N$5),"Final checks – submit at least a day early","Book writing time in the diary"))))))))))</f>
        <v/>
      </c>
      <c r="R46" s="42" t="str">
        <f aca="false">IF(ISNUMBER(H46),IF(AND(H46&gt;=0,H46&lt;=Lists!$N$4),G46+ROW()/100000,""),"")</f>
        <v/>
      </c>
    </row>
    <row r="47" customFormat="false" ht="27.75" hidden="false" customHeight="true" outlineLevel="0" collapsed="false">
      <c r="A47" s="38"/>
      <c r="B47" s="38"/>
      <c r="C47" s="38"/>
      <c r="D47" s="38"/>
      <c r="E47" s="44"/>
      <c r="F47" s="38"/>
      <c r="G47" s="39"/>
      <c r="H47" s="45" t="str">
        <f aca="true">IF(OR(B47="",G47=""),"",IF(OR(L47="Submitted",L47="Won",L47="Lost",L47="Withdrawn"),"",G47-TODAY()))</f>
        <v/>
      </c>
      <c r="I47" s="46"/>
      <c r="J47" s="41"/>
      <c r="K47" s="38"/>
      <c r="L47" s="38"/>
      <c r="M47" s="39"/>
      <c r="N47" s="39"/>
      <c r="O47" s="38"/>
      <c r="P47" s="38"/>
      <c r="Q47" s="42" t="str">
        <f aca="false">IF(B47="","",IF(AND(OR(L47="Won",L47="Lost"),N47=""),"Add the result date",IF(OR(L47="Won",L47="Lost"),IF(O47="","Ask the buyer for scores and feedback",IF(P47="","Write 1–3 lessons","Done")),IF(L47="Withdrawn","Done",IF(L47="Submitted","Wait for the result – diary the date given",IF(L47="Clarification","Answer the buyer’s questions by their deadline",IF(J47="No bid","Not bidding – set status to Withdrawn",IF(J47&lt;&gt;"Bid","Score it with ARB-BD-05, then decide",IF(AND(ISNUMBER(H47),H47&lt;0),"Deadline passed – check the portal",IF(AND(ISNUMBER(H47),H47&lt;=Lists!$N$5),"Final checks – submit at least a day early","Book writing time in the diary"))))))))))</f>
        <v/>
      </c>
      <c r="R47" s="42" t="str">
        <f aca="false">IF(ISNUMBER(H47),IF(AND(H47&gt;=0,H47&lt;=Lists!$N$4),G47+ROW()/100000,""),"")</f>
        <v/>
      </c>
    </row>
    <row r="48" customFormat="false" ht="27.75" hidden="false" customHeight="true" outlineLevel="0" collapsed="false">
      <c r="A48" s="38"/>
      <c r="B48" s="38"/>
      <c r="C48" s="38"/>
      <c r="D48" s="38"/>
      <c r="E48" s="44"/>
      <c r="F48" s="38"/>
      <c r="G48" s="39"/>
      <c r="H48" s="45" t="str">
        <f aca="true">IF(OR(B48="",G48=""),"",IF(OR(L48="Submitted",L48="Won",L48="Lost",L48="Withdrawn"),"",G48-TODAY()))</f>
        <v/>
      </c>
      <c r="I48" s="46"/>
      <c r="J48" s="41"/>
      <c r="K48" s="38"/>
      <c r="L48" s="38"/>
      <c r="M48" s="39"/>
      <c r="N48" s="39"/>
      <c r="O48" s="38"/>
      <c r="P48" s="38"/>
      <c r="Q48" s="42" t="str">
        <f aca="false">IF(B48="","",IF(AND(OR(L48="Won",L48="Lost"),N48=""),"Add the result date",IF(OR(L48="Won",L48="Lost"),IF(O48="","Ask the buyer for scores and feedback",IF(P48="","Write 1–3 lessons","Done")),IF(L48="Withdrawn","Done",IF(L48="Submitted","Wait for the result – diary the date given",IF(L48="Clarification","Answer the buyer’s questions by their deadline",IF(J48="No bid","Not bidding – set status to Withdrawn",IF(J48&lt;&gt;"Bid","Score it with ARB-BD-05, then decide",IF(AND(ISNUMBER(H48),H48&lt;0),"Deadline passed – check the portal",IF(AND(ISNUMBER(H48),H48&lt;=Lists!$N$5),"Final checks – submit at least a day early","Book writing time in the diary"))))))))))</f>
        <v/>
      </c>
      <c r="R48" s="42" t="str">
        <f aca="false">IF(ISNUMBER(H48),IF(AND(H48&gt;=0,H48&lt;=Lists!$N$4),G48+ROW()/100000,""),"")</f>
        <v/>
      </c>
    </row>
    <row r="49" customFormat="false" ht="27.75" hidden="false" customHeight="true" outlineLevel="0" collapsed="false">
      <c r="A49" s="38"/>
      <c r="B49" s="38"/>
      <c r="C49" s="38"/>
      <c r="D49" s="38"/>
      <c r="E49" s="44"/>
      <c r="F49" s="38"/>
      <c r="G49" s="39"/>
      <c r="H49" s="45" t="str">
        <f aca="true">IF(OR(B49="",G49=""),"",IF(OR(L49="Submitted",L49="Won",L49="Lost",L49="Withdrawn"),"",G49-TODAY()))</f>
        <v/>
      </c>
      <c r="I49" s="46"/>
      <c r="J49" s="41"/>
      <c r="K49" s="38"/>
      <c r="L49" s="38"/>
      <c r="M49" s="39"/>
      <c r="N49" s="39"/>
      <c r="O49" s="38"/>
      <c r="P49" s="38"/>
      <c r="Q49" s="42" t="str">
        <f aca="false">IF(B49="","",IF(AND(OR(L49="Won",L49="Lost"),N49=""),"Add the result date",IF(OR(L49="Won",L49="Lost"),IF(O49="","Ask the buyer for scores and feedback",IF(P49="","Write 1–3 lessons","Done")),IF(L49="Withdrawn","Done",IF(L49="Submitted","Wait for the result – diary the date given",IF(L49="Clarification","Answer the buyer’s questions by their deadline",IF(J49="No bid","Not bidding – set status to Withdrawn",IF(J49&lt;&gt;"Bid","Score it with ARB-BD-05, then decide",IF(AND(ISNUMBER(H49),H49&lt;0),"Deadline passed – check the portal",IF(AND(ISNUMBER(H49),H49&lt;=Lists!$N$5),"Final checks – submit at least a day early","Book writing time in the diary"))))))))))</f>
        <v/>
      </c>
      <c r="R49" s="42" t="str">
        <f aca="false">IF(ISNUMBER(H49),IF(AND(H49&gt;=0,H49&lt;=Lists!$N$4),G49+ROW()/100000,""),"")</f>
        <v/>
      </c>
    </row>
    <row r="50" customFormat="false" ht="27.75" hidden="false" customHeight="true" outlineLevel="0" collapsed="false">
      <c r="A50" s="38"/>
      <c r="B50" s="38"/>
      <c r="C50" s="38"/>
      <c r="D50" s="38"/>
      <c r="E50" s="44"/>
      <c r="F50" s="38"/>
      <c r="G50" s="39"/>
      <c r="H50" s="45" t="str">
        <f aca="true">IF(OR(B50="",G50=""),"",IF(OR(L50="Submitted",L50="Won",L50="Lost",L50="Withdrawn"),"",G50-TODAY()))</f>
        <v/>
      </c>
      <c r="I50" s="46"/>
      <c r="J50" s="41"/>
      <c r="K50" s="38"/>
      <c r="L50" s="38"/>
      <c r="M50" s="39"/>
      <c r="N50" s="39"/>
      <c r="O50" s="38"/>
      <c r="P50" s="38"/>
      <c r="Q50" s="42" t="str">
        <f aca="false">IF(B50="","",IF(AND(OR(L50="Won",L50="Lost"),N50=""),"Add the result date",IF(OR(L50="Won",L50="Lost"),IF(O50="","Ask the buyer for scores and feedback",IF(P50="","Write 1–3 lessons","Done")),IF(L50="Withdrawn","Done",IF(L50="Submitted","Wait for the result – diary the date given",IF(L50="Clarification","Answer the buyer’s questions by their deadline",IF(J50="No bid","Not bidding – set status to Withdrawn",IF(J50&lt;&gt;"Bid","Score it with ARB-BD-05, then decide",IF(AND(ISNUMBER(H50),H50&lt;0),"Deadline passed – check the portal",IF(AND(ISNUMBER(H50),H50&lt;=Lists!$N$5),"Final checks – submit at least a day early","Book writing time in the diary"))))))))))</f>
        <v/>
      </c>
      <c r="R50" s="42" t="str">
        <f aca="false">IF(ISNUMBER(H50),IF(AND(H50&gt;=0,H50&lt;=Lists!$N$4),G50+ROW()/100000,""),"")</f>
        <v/>
      </c>
    </row>
    <row r="51" customFormat="false" ht="27.75" hidden="false" customHeight="true" outlineLevel="0" collapsed="false">
      <c r="A51" s="38"/>
      <c r="B51" s="38"/>
      <c r="C51" s="38"/>
      <c r="D51" s="38"/>
      <c r="E51" s="44"/>
      <c r="F51" s="38"/>
      <c r="G51" s="39"/>
      <c r="H51" s="45" t="str">
        <f aca="true">IF(OR(B51="",G51=""),"",IF(OR(L51="Submitted",L51="Won",L51="Lost",L51="Withdrawn"),"",G51-TODAY()))</f>
        <v/>
      </c>
      <c r="I51" s="46"/>
      <c r="J51" s="41"/>
      <c r="K51" s="38"/>
      <c r="L51" s="38"/>
      <c r="M51" s="39"/>
      <c r="N51" s="39"/>
      <c r="O51" s="38"/>
      <c r="P51" s="38"/>
      <c r="Q51" s="42" t="str">
        <f aca="false">IF(B51="","",IF(AND(OR(L51="Won",L51="Lost"),N51=""),"Add the result date",IF(OR(L51="Won",L51="Lost"),IF(O51="","Ask the buyer for scores and feedback",IF(P51="","Write 1–3 lessons","Done")),IF(L51="Withdrawn","Done",IF(L51="Submitted","Wait for the result – diary the date given",IF(L51="Clarification","Answer the buyer’s questions by their deadline",IF(J51="No bid","Not bidding – set status to Withdrawn",IF(J51&lt;&gt;"Bid","Score it with ARB-BD-05, then decide",IF(AND(ISNUMBER(H51),H51&lt;0),"Deadline passed – check the portal",IF(AND(ISNUMBER(H51),H51&lt;=Lists!$N$5),"Final checks – submit at least a day early","Book writing time in the diary"))))))))))</f>
        <v/>
      </c>
      <c r="R51" s="42" t="str">
        <f aca="false">IF(ISNUMBER(H51),IF(AND(H51&gt;=0,H51&lt;=Lists!$N$4),G51+ROW()/100000,""),"")</f>
        <v/>
      </c>
    </row>
    <row r="52" customFormat="false" ht="27.75" hidden="false" customHeight="true" outlineLevel="0" collapsed="false">
      <c r="A52" s="38"/>
      <c r="B52" s="38"/>
      <c r="C52" s="38"/>
      <c r="D52" s="38"/>
      <c r="E52" s="44"/>
      <c r="F52" s="38"/>
      <c r="G52" s="39"/>
      <c r="H52" s="45" t="str">
        <f aca="true">IF(OR(B52="",G52=""),"",IF(OR(L52="Submitted",L52="Won",L52="Lost",L52="Withdrawn"),"",G52-TODAY()))</f>
        <v/>
      </c>
      <c r="I52" s="46"/>
      <c r="J52" s="41"/>
      <c r="K52" s="38"/>
      <c r="L52" s="38"/>
      <c r="M52" s="39"/>
      <c r="N52" s="39"/>
      <c r="O52" s="38"/>
      <c r="P52" s="38"/>
      <c r="Q52" s="42" t="str">
        <f aca="false">IF(B52="","",IF(AND(OR(L52="Won",L52="Lost"),N52=""),"Add the result date",IF(OR(L52="Won",L52="Lost"),IF(O52="","Ask the buyer for scores and feedback",IF(P52="","Write 1–3 lessons","Done")),IF(L52="Withdrawn","Done",IF(L52="Submitted","Wait for the result – diary the date given",IF(L52="Clarification","Answer the buyer’s questions by their deadline",IF(J52="No bid","Not bidding – set status to Withdrawn",IF(J52&lt;&gt;"Bid","Score it with ARB-BD-05, then decide",IF(AND(ISNUMBER(H52),H52&lt;0),"Deadline passed – check the portal",IF(AND(ISNUMBER(H52),H52&lt;=Lists!$N$5),"Final checks – submit at least a day early","Book writing time in the diary"))))))))))</f>
        <v/>
      </c>
      <c r="R52" s="42" t="str">
        <f aca="false">IF(ISNUMBER(H52),IF(AND(H52&gt;=0,H52&lt;=Lists!$N$4),G52+ROW()/100000,""),"")</f>
        <v/>
      </c>
    </row>
    <row r="53" customFormat="false" ht="27.75" hidden="false" customHeight="true" outlineLevel="0" collapsed="false">
      <c r="A53" s="38"/>
      <c r="B53" s="38"/>
      <c r="C53" s="38"/>
      <c r="D53" s="38"/>
      <c r="E53" s="44"/>
      <c r="F53" s="38"/>
      <c r="G53" s="39"/>
      <c r="H53" s="45" t="str">
        <f aca="true">IF(OR(B53="",G53=""),"",IF(OR(L53="Submitted",L53="Won",L53="Lost",L53="Withdrawn"),"",G53-TODAY()))</f>
        <v/>
      </c>
      <c r="I53" s="46"/>
      <c r="J53" s="41"/>
      <c r="K53" s="38"/>
      <c r="L53" s="38"/>
      <c r="M53" s="39"/>
      <c r="N53" s="39"/>
      <c r="O53" s="38"/>
      <c r="P53" s="38"/>
      <c r="Q53" s="42" t="str">
        <f aca="false">IF(B53="","",IF(AND(OR(L53="Won",L53="Lost"),N53=""),"Add the result date",IF(OR(L53="Won",L53="Lost"),IF(O53="","Ask the buyer for scores and feedback",IF(P53="","Write 1–3 lessons","Done")),IF(L53="Withdrawn","Done",IF(L53="Submitted","Wait for the result – diary the date given",IF(L53="Clarification","Answer the buyer’s questions by their deadline",IF(J53="No bid","Not bidding – set status to Withdrawn",IF(J53&lt;&gt;"Bid","Score it with ARB-BD-05, then decide",IF(AND(ISNUMBER(H53),H53&lt;0),"Deadline passed – check the portal",IF(AND(ISNUMBER(H53),H53&lt;=Lists!$N$5),"Final checks – submit at least a day early","Book writing time in the diary"))))))))))</f>
        <v/>
      </c>
      <c r="R53" s="42" t="str">
        <f aca="false">IF(ISNUMBER(H53),IF(AND(H53&gt;=0,H53&lt;=Lists!$N$4),G53+ROW()/100000,""),"")</f>
        <v/>
      </c>
    </row>
    <row r="54" customFormat="false" ht="27.75" hidden="false" customHeight="true" outlineLevel="0" collapsed="false">
      <c r="A54" s="38"/>
      <c r="B54" s="38"/>
      <c r="C54" s="38"/>
      <c r="D54" s="38"/>
      <c r="E54" s="44"/>
      <c r="F54" s="38"/>
      <c r="G54" s="39"/>
      <c r="H54" s="45" t="str">
        <f aca="true">IF(OR(B54="",G54=""),"",IF(OR(L54="Submitted",L54="Won",L54="Lost",L54="Withdrawn"),"",G54-TODAY()))</f>
        <v/>
      </c>
      <c r="I54" s="46"/>
      <c r="J54" s="41"/>
      <c r="K54" s="38"/>
      <c r="L54" s="38"/>
      <c r="M54" s="39"/>
      <c r="N54" s="39"/>
      <c r="O54" s="38"/>
      <c r="P54" s="38"/>
      <c r="Q54" s="42" t="str">
        <f aca="false">IF(B54="","",IF(AND(OR(L54="Won",L54="Lost"),N54=""),"Add the result date",IF(OR(L54="Won",L54="Lost"),IF(O54="","Ask the buyer for scores and feedback",IF(P54="","Write 1–3 lessons","Done")),IF(L54="Withdrawn","Done",IF(L54="Submitted","Wait for the result – diary the date given",IF(L54="Clarification","Answer the buyer’s questions by their deadline",IF(J54="No bid","Not bidding – set status to Withdrawn",IF(J54&lt;&gt;"Bid","Score it with ARB-BD-05, then decide",IF(AND(ISNUMBER(H54),H54&lt;0),"Deadline passed – check the portal",IF(AND(ISNUMBER(H54),H54&lt;=Lists!$N$5),"Final checks – submit at least a day early","Book writing time in the diary"))))))))))</f>
        <v/>
      </c>
      <c r="R54" s="42" t="str">
        <f aca="false">IF(ISNUMBER(H54),IF(AND(H54&gt;=0,H54&lt;=Lists!$N$4),G54+ROW()/100000,""),"")</f>
        <v/>
      </c>
    </row>
    <row r="55" customFormat="false" ht="27.75" hidden="false" customHeight="true" outlineLevel="0" collapsed="false">
      <c r="A55" s="38"/>
      <c r="B55" s="38"/>
      <c r="C55" s="38"/>
      <c r="D55" s="38"/>
      <c r="E55" s="44"/>
      <c r="F55" s="38"/>
      <c r="G55" s="39"/>
      <c r="H55" s="45" t="str">
        <f aca="true">IF(OR(B55="",G55=""),"",IF(OR(L55="Submitted",L55="Won",L55="Lost",L55="Withdrawn"),"",G55-TODAY()))</f>
        <v/>
      </c>
      <c r="I55" s="46"/>
      <c r="J55" s="41"/>
      <c r="K55" s="38"/>
      <c r="L55" s="38"/>
      <c r="M55" s="39"/>
      <c r="N55" s="39"/>
      <c r="O55" s="38"/>
      <c r="P55" s="38"/>
      <c r="Q55" s="42" t="str">
        <f aca="false">IF(B55="","",IF(AND(OR(L55="Won",L55="Lost"),N55=""),"Add the result date",IF(OR(L55="Won",L55="Lost"),IF(O55="","Ask the buyer for scores and feedback",IF(P55="","Write 1–3 lessons","Done")),IF(L55="Withdrawn","Done",IF(L55="Submitted","Wait for the result – diary the date given",IF(L55="Clarification","Answer the buyer’s questions by their deadline",IF(J55="No bid","Not bidding – set status to Withdrawn",IF(J55&lt;&gt;"Bid","Score it with ARB-BD-05, then decide",IF(AND(ISNUMBER(H55),H55&lt;0),"Deadline passed – check the portal",IF(AND(ISNUMBER(H55),H55&lt;=Lists!$N$5),"Final checks – submit at least a day early","Book writing time in the diary"))))))))))</f>
        <v/>
      </c>
      <c r="R55" s="42" t="str">
        <f aca="false">IF(ISNUMBER(H55),IF(AND(H55&gt;=0,H55&lt;=Lists!$N$4),G55+ROW()/100000,""),"")</f>
        <v/>
      </c>
    </row>
    <row r="56" customFormat="false" ht="27.75" hidden="false" customHeight="true" outlineLevel="0" collapsed="false">
      <c r="A56" s="38"/>
      <c r="B56" s="38"/>
      <c r="C56" s="38"/>
      <c r="D56" s="38"/>
      <c r="E56" s="44"/>
      <c r="F56" s="38"/>
      <c r="G56" s="39"/>
      <c r="H56" s="45" t="str">
        <f aca="true">IF(OR(B56="",G56=""),"",IF(OR(L56="Submitted",L56="Won",L56="Lost",L56="Withdrawn"),"",G56-TODAY()))</f>
        <v/>
      </c>
      <c r="I56" s="46"/>
      <c r="J56" s="41"/>
      <c r="K56" s="38"/>
      <c r="L56" s="38"/>
      <c r="M56" s="39"/>
      <c r="N56" s="39"/>
      <c r="O56" s="38"/>
      <c r="P56" s="38"/>
      <c r="Q56" s="42" t="str">
        <f aca="false">IF(B56="","",IF(AND(OR(L56="Won",L56="Lost"),N56=""),"Add the result date",IF(OR(L56="Won",L56="Lost"),IF(O56="","Ask the buyer for scores and feedback",IF(P56="","Write 1–3 lessons","Done")),IF(L56="Withdrawn","Done",IF(L56="Submitted","Wait for the result – diary the date given",IF(L56="Clarification","Answer the buyer’s questions by their deadline",IF(J56="No bid","Not bidding – set status to Withdrawn",IF(J56&lt;&gt;"Bid","Score it with ARB-BD-05, then decide",IF(AND(ISNUMBER(H56),H56&lt;0),"Deadline passed – check the portal",IF(AND(ISNUMBER(H56),H56&lt;=Lists!$N$5),"Final checks – submit at least a day early","Book writing time in the diary"))))))))))</f>
        <v/>
      </c>
      <c r="R56" s="42" t="str">
        <f aca="false">IF(ISNUMBER(H56),IF(AND(H56&gt;=0,H56&lt;=Lists!$N$4),G56+ROW()/100000,""),"")</f>
        <v/>
      </c>
    </row>
    <row r="57" customFormat="false" ht="27.75" hidden="false" customHeight="true" outlineLevel="0" collapsed="false">
      <c r="A57" s="38"/>
      <c r="B57" s="38"/>
      <c r="C57" s="38"/>
      <c r="D57" s="38"/>
      <c r="E57" s="44"/>
      <c r="F57" s="38"/>
      <c r="G57" s="39"/>
      <c r="H57" s="45" t="str">
        <f aca="true">IF(OR(B57="",G57=""),"",IF(OR(L57="Submitted",L57="Won",L57="Lost",L57="Withdrawn"),"",G57-TODAY()))</f>
        <v/>
      </c>
      <c r="I57" s="46"/>
      <c r="J57" s="41"/>
      <c r="K57" s="38"/>
      <c r="L57" s="38"/>
      <c r="M57" s="39"/>
      <c r="N57" s="39"/>
      <c r="O57" s="38"/>
      <c r="P57" s="38"/>
      <c r="Q57" s="42" t="str">
        <f aca="false">IF(B57="","",IF(AND(OR(L57="Won",L57="Lost"),N57=""),"Add the result date",IF(OR(L57="Won",L57="Lost"),IF(O57="","Ask the buyer for scores and feedback",IF(P57="","Write 1–3 lessons","Done")),IF(L57="Withdrawn","Done",IF(L57="Submitted","Wait for the result – diary the date given",IF(L57="Clarification","Answer the buyer’s questions by their deadline",IF(J57="No bid","Not bidding – set status to Withdrawn",IF(J57&lt;&gt;"Bid","Score it with ARB-BD-05, then decide",IF(AND(ISNUMBER(H57),H57&lt;0),"Deadline passed – check the portal",IF(AND(ISNUMBER(H57),H57&lt;=Lists!$N$5),"Final checks – submit at least a day early","Book writing time in the diary"))))))))))</f>
        <v/>
      </c>
      <c r="R57" s="42" t="str">
        <f aca="false">IF(ISNUMBER(H57),IF(AND(H57&gt;=0,H57&lt;=Lists!$N$4),G57+ROW()/100000,""),"")</f>
        <v/>
      </c>
    </row>
    <row r="58" customFormat="false" ht="27.75" hidden="false" customHeight="true" outlineLevel="0" collapsed="false">
      <c r="A58" s="38"/>
      <c r="B58" s="38"/>
      <c r="C58" s="38"/>
      <c r="D58" s="38"/>
      <c r="E58" s="44"/>
      <c r="F58" s="38"/>
      <c r="G58" s="39"/>
      <c r="H58" s="45" t="str">
        <f aca="true">IF(OR(B58="",G58=""),"",IF(OR(L58="Submitted",L58="Won",L58="Lost",L58="Withdrawn"),"",G58-TODAY()))</f>
        <v/>
      </c>
      <c r="I58" s="46"/>
      <c r="J58" s="41"/>
      <c r="K58" s="38"/>
      <c r="L58" s="38"/>
      <c r="M58" s="39"/>
      <c r="N58" s="39"/>
      <c r="O58" s="38"/>
      <c r="P58" s="38"/>
      <c r="Q58" s="42" t="str">
        <f aca="false">IF(B58="","",IF(AND(OR(L58="Won",L58="Lost"),N58=""),"Add the result date",IF(OR(L58="Won",L58="Lost"),IF(O58="","Ask the buyer for scores and feedback",IF(P58="","Write 1–3 lessons","Done")),IF(L58="Withdrawn","Done",IF(L58="Submitted","Wait for the result – diary the date given",IF(L58="Clarification","Answer the buyer’s questions by their deadline",IF(J58="No bid","Not bidding – set status to Withdrawn",IF(J58&lt;&gt;"Bid","Score it with ARB-BD-05, then decide",IF(AND(ISNUMBER(H58),H58&lt;0),"Deadline passed – check the portal",IF(AND(ISNUMBER(H58),H58&lt;=Lists!$N$5),"Final checks – submit at least a day early","Book writing time in the diary"))))))))))</f>
        <v/>
      </c>
      <c r="R58" s="42" t="str">
        <f aca="false">IF(ISNUMBER(H58),IF(AND(H58&gt;=0,H58&lt;=Lists!$N$4),G58+ROW()/100000,""),"")</f>
        <v/>
      </c>
    </row>
    <row r="59" customFormat="false" ht="27.75" hidden="false" customHeight="true" outlineLevel="0" collapsed="false">
      <c r="A59" s="38"/>
      <c r="B59" s="38"/>
      <c r="C59" s="38"/>
      <c r="D59" s="38"/>
      <c r="E59" s="44"/>
      <c r="F59" s="38"/>
      <c r="G59" s="39"/>
      <c r="H59" s="45" t="str">
        <f aca="true">IF(OR(B59="",G59=""),"",IF(OR(L59="Submitted",L59="Won",L59="Lost",L59="Withdrawn"),"",G59-TODAY()))</f>
        <v/>
      </c>
      <c r="I59" s="46"/>
      <c r="J59" s="41"/>
      <c r="K59" s="38"/>
      <c r="L59" s="38"/>
      <c r="M59" s="39"/>
      <c r="N59" s="39"/>
      <c r="O59" s="38"/>
      <c r="P59" s="38"/>
      <c r="Q59" s="42" t="str">
        <f aca="false">IF(B59="","",IF(AND(OR(L59="Won",L59="Lost"),N59=""),"Add the result date",IF(OR(L59="Won",L59="Lost"),IF(O59="","Ask the buyer for scores and feedback",IF(P59="","Write 1–3 lessons","Done")),IF(L59="Withdrawn","Done",IF(L59="Submitted","Wait for the result – diary the date given",IF(L59="Clarification","Answer the buyer’s questions by their deadline",IF(J59="No bid","Not bidding – set status to Withdrawn",IF(J59&lt;&gt;"Bid","Score it with ARB-BD-05, then decide",IF(AND(ISNUMBER(H59),H59&lt;0),"Deadline passed – check the portal",IF(AND(ISNUMBER(H59),H59&lt;=Lists!$N$5),"Final checks – submit at least a day early","Book writing time in the diary"))))))))))</f>
        <v/>
      </c>
      <c r="R59" s="42" t="str">
        <f aca="false">IF(ISNUMBER(H59),IF(AND(H59&gt;=0,H59&lt;=Lists!$N$4),G59+ROW()/100000,""),"")</f>
        <v/>
      </c>
    </row>
    <row r="60" customFormat="false" ht="27.75" hidden="false" customHeight="true" outlineLevel="0" collapsed="false">
      <c r="A60" s="38"/>
      <c r="B60" s="38"/>
      <c r="C60" s="38"/>
      <c r="D60" s="38"/>
      <c r="E60" s="44"/>
      <c r="F60" s="38"/>
      <c r="G60" s="39"/>
      <c r="H60" s="45" t="str">
        <f aca="true">IF(OR(B60="",G60=""),"",IF(OR(L60="Submitted",L60="Won",L60="Lost",L60="Withdrawn"),"",G60-TODAY()))</f>
        <v/>
      </c>
      <c r="I60" s="46"/>
      <c r="J60" s="41"/>
      <c r="K60" s="38"/>
      <c r="L60" s="38"/>
      <c r="M60" s="39"/>
      <c r="N60" s="39"/>
      <c r="O60" s="38"/>
      <c r="P60" s="38"/>
      <c r="Q60" s="42" t="str">
        <f aca="false">IF(B60="","",IF(AND(OR(L60="Won",L60="Lost"),N60=""),"Add the result date",IF(OR(L60="Won",L60="Lost"),IF(O60="","Ask the buyer for scores and feedback",IF(P60="","Write 1–3 lessons","Done")),IF(L60="Withdrawn","Done",IF(L60="Submitted","Wait for the result – diary the date given",IF(L60="Clarification","Answer the buyer’s questions by their deadline",IF(J60="No bid","Not bidding – set status to Withdrawn",IF(J60&lt;&gt;"Bid","Score it with ARB-BD-05, then decide",IF(AND(ISNUMBER(H60),H60&lt;0),"Deadline passed – check the portal",IF(AND(ISNUMBER(H60),H60&lt;=Lists!$N$5),"Final checks – submit at least a day early","Book writing time in the diary"))))))))))</f>
        <v/>
      </c>
      <c r="R60" s="42" t="str">
        <f aca="false">IF(ISNUMBER(H60),IF(AND(H60&gt;=0,H60&lt;=Lists!$N$4),G60+ROW()/100000,""),"")</f>
        <v/>
      </c>
    </row>
    <row r="61" customFormat="false" ht="27.75" hidden="false" customHeight="true" outlineLevel="0" collapsed="false">
      <c r="A61" s="38"/>
      <c r="B61" s="38"/>
      <c r="C61" s="38"/>
      <c r="D61" s="38"/>
      <c r="E61" s="44"/>
      <c r="F61" s="38"/>
      <c r="G61" s="39"/>
      <c r="H61" s="45" t="str">
        <f aca="true">IF(OR(B61="",G61=""),"",IF(OR(L61="Submitted",L61="Won",L61="Lost",L61="Withdrawn"),"",G61-TODAY()))</f>
        <v/>
      </c>
      <c r="I61" s="46"/>
      <c r="J61" s="41"/>
      <c r="K61" s="38"/>
      <c r="L61" s="38"/>
      <c r="M61" s="39"/>
      <c r="N61" s="39"/>
      <c r="O61" s="38"/>
      <c r="P61" s="38"/>
      <c r="Q61" s="42" t="str">
        <f aca="false">IF(B61="","",IF(AND(OR(L61="Won",L61="Lost"),N61=""),"Add the result date",IF(OR(L61="Won",L61="Lost"),IF(O61="","Ask the buyer for scores and feedback",IF(P61="","Write 1–3 lessons","Done")),IF(L61="Withdrawn","Done",IF(L61="Submitted","Wait for the result – diary the date given",IF(L61="Clarification","Answer the buyer’s questions by their deadline",IF(J61="No bid","Not bidding – set status to Withdrawn",IF(J61&lt;&gt;"Bid","Score it with ARB-BD-05, then decide",IF(AND(ISNUMBER(H61),H61&lt;0),"Deadline passed – check the portal",IF(AND(ISNUMBER(H61),H61&lt;=Lists!$N$5),"Final checks – submit at least a day early","Book writing time in the diary"))))))))))</f>
        <v/>
      </c>
      <c r="R61" s="42" t="str">
        <f aca="false">IF(ISNUMBER(H61),IF(AND(H61&gt;=0,H61&lt;=Lists!$N$4),G61+ROW()/100000,""),"")</f>
        <v/>
      </c>
    </row>
    <row r="62" customFormat="false" ht="27.75" hidden="false" customHeight="true" outlineLevel="0" collapsed="false">
      <c r="A62" s="38"/>
      <c r="B62" s="38"/>
      <c r="C62" s="38"/>
      <c r="D62" s="38"/>
      <c r="E62" s="44"/>
      <c r="F62" s="38"/>
      <c r="G62" s="39"/>
      <c r="H62" s="45" t="str">
        <f aca="true">IF(OR(B62="",G62=""),"",IF(OR(L62="Submitted",L62="Won",L62="Lost",L62="Withdrawn"),"",G62-TODAY()))</f>
        <v/>
      </c>
      <c r="I62" s="46"/>
      <c r="J62" s="41"/>
      <c r="K62" s="38"/>
      <c r="L62" s="38"/>
      <c r="M62" s="39"/>
      <c r="N62" s="39"/>
      <c r="O62" s="38"/>
      <c r="P62" s="38"/>
      <c r="Q62" s="42" t="str">
        <f aca="false">IF(B62="","",IF(AND(OR(L62="Won",L62="Lost"),N62=""),"Add the result date",IF(OR(L62="Won",L62="Lost"),IF(O62="","Ask the buyer for scores and feedback",IF(P62="","Write 1–3 lessons","Done")),IF(L62="Withdrawn","Done",IF(L62="Submitted","Wait for the result – diary the date given",IF(L62="Clarification","Answer the buyer’s questions by their deadline",IF(J62="No bid","Not bidding – set status to Withdrawn",IF(J62&lt;&gt;"Bid","Score it with ARB-BD-05, then decide",IF(AND(ISNUMBER(H62),H62&lt;0),"Deadline passed – check the portal",IF(AND(ISNUMBER(H62),H62&lt;=Lists!$N$5),"Final checks – submit at least a day early","Book writing time in the diary"))))))))))</f>
        <v/>
      </c>
      <c r="R62" s="42" t="str">
        <f aca="false">IF(ISNUMBER(H62),IF(AND(H62&gt;=0,H62&lt;=Lists!$N$4),G62+ROW()/100000,""),"")</f>
        <v/>
      </c>
    </row>
    <row r="63" customFormat="false" ht="27.75" hidden="false" customHeight="true" outlineLevel="0" collapsed="false">
      <c r="A63" s="38"/>
      <c r="B63" s="38"/>
      <c r="C63" s="38"/>
      <c r="D63" s="38"/>
      <c r="E63" s="44"/>
      <c r="F63" s="38"/>
      <c r="G63" s="39"/>
      <c r="H63" s="45" t="str">
        <f aca="true">IF(OR(B63="",G63=""),"",IF(OR(L63="Submitted",L63="Won",L63="Lost",L63="Withdrawn"),"",G63-TODAY()))</f>
        <v/>
      </c>
      <c r="I63" s="46"/>
      <c r="J63" s="41"/>
      <c r="K63" s="38"/>
      <c r="L63" s="38"/>
      <c r="M63" s="39"/>
      <c r="N63" s="39"/>
      <c r="O63" s="38"/>
      <c r="P63" s="38"/>
      <c r="Q63" s="42" t="str">
        <f aca="false">IF(B63="","",IF(AND(OR(L63="Won",L63="Lost"),N63=""),"Add the result date",IF(OR(L63="Won",L63="Lost"),IF(O63="","Ask the buyer for scores and feedback",IF(P63="","Write 1–3 lessons","Done")),IF(L63="Withdrawn","Done",IF(L63="Submitted","Wait for the result – diary the date given",IF(L63="Clarification","Answer the buyer’s questions by their deadline",IF(J63="No bid","Not bidding – set status to Withdrawn",IF(J63&lt;&gt;"Bid","Score it with ARB-BD-05, then decide",IF(AND(ISNUMBER(H63),H63&lt;0),"Deadline passed – check the portal",IF(AND(ISNUMBER(H63),H63&lt;=Lists!$N$5),"Final checks – submit at least a day early","Book writing time in the diary"))))))))))</f>
        <v/>
      </c>
      <c r="R63" s="42" t="str">
        <f aca="false">IF(ISNUMBER(H63),IF(AND(H63&gt;=0,H63&lt;=Lists!$N$4),G63+ROW()/100000,""),"")</f>
        <v/>
      </c>
    </row>
    <row r="64" customFormat="false" ht="27.75" hidden="false" customHeight="true" outlineLevel="0" collapsed="false">
      <c r="A64" s="38"/>
      <c r="B64" s="38"/>
      <c r="C64" s="38"/>
      <c r="D64" s="38"/>
      <c r="E64" s="44"/>
      <c r="F64" s="38"/>
      <c r="G64" s="39"/>
      <c r="H64" s="45" t="str">
        <f aca="true">IF(OR(B64="",G64=""),"",IF(OR(L64="Submitted",L64="Won",L64="Lost",L64="Withdrawn"),"",G64-TODAY()))</f>
        <v/>
      </c>
      <c r="I64" s="46"/>
      <c r="J64" s="41"/>
      <c r="K64" s="38"/>
      <c r="L64" s="38"/>
      <c r="M64" s="39"/>
      <c r="N64" s="39"/>
      <c r="O64" s="38"/>
      <c r="P64" s="38"/>
      <c r="Q64" s="42" t="str">
        <f aca="false">IF(B64="","",IF(AND(OR(L64="Won",L64="Lost"),N64=""),"Add the result date",IF(OR(L64="Won",L64="Lost"),IF(O64="","Ask the buyer for scores and feedback",IF(P64="","Write 1–3 lessons","Done")),IF(L64="Withdrawn","Done",IF(L64="Submitted","Wait for the result – diary the date given",IF(L64="Clarification","Answer the buyer’s questions by their deadline",IF(J64="No bid","Not bidding – set status to Withdrawn",IF(J64&lt;&gt;"Bid","Score it with ARB-BD-05, then decide",IF(AND(ISNUMBER(H64),H64&lt;0),"Deadline passed – check the portal",IF(AND(ISNUMBER(H64),H64&lt;=Lists!$N$5),"Final checks – submit at least a day early","Book writing time in the diary"))))))))))</f>
        <v/>
      </c>
      <c r="R64" s="42" t="str">
        <f aca="false">IF(ISNUMBER(H64),IF(AND(H64&gt;=0,H64&lt;=Lists!$N$4),G64+ROW()/100000,""),"")</f>
        <v/>
      </c>
    </row>
    <row r="65" customFormat="false" ht="27.75" hidden="false" customHeight="true" outlineLevel="0" collapsed="false">
      <c r="A65" s="38"/>
      <c r="B65" s="38"/>
      <c r="C65" s="38"/>
      <c r="D65" s="38"/>
      <c r="E65" s="44"/>
      <c r="F65" s="38"/>
      <c r="G65" s="39"/>
      <c r="H65" s="45" t="str">
        <f aca="true">IF(OR(B65="",G65=""),"",IF(OR(L65="Submitted",L65="Won",L65="Lost",L65="Withdrawn"),"",G65-TODAY()))</f>
        <v/>
      </c>
      <c r="I65" s="46"/>
      <c r="J65" s="41"/>
      <c r="K65" s="38"/>
      <c r="L65" s="38"/>
      <c r="M65" s="39"/>
      <c r="N65" s="39"/>
      <c r="O65" s="38"/>
      <c r="P65" s="38"/>
      <c r="Q65" s="42" t="str">
        <f aca="false">IF(B65="","",IF(AND(OR(L65="Won",L65="Lost"),N65=""),"Add the result date",IF(OR(L65="Won",L65="Lost"),IF(O65="","Ask the buyer for scores and feedback",IF(P65="","Write 1–3 lessons","Done")),IF(L65="Withdrawn","Done",IF(L65="Submitted","Wait for the result – diary the date given",IF(L65="Clarification","Answer the buyer’s questions by their deadline",IF(J65="No bid","Not bidding – set status to Withdrawn",IF(J65&lt;&gt;"Bid","Score it with ARB-BD-05, then decide",IF(AND(ISNUMBER(H65),H65&lt;0),"Deadline passed – check the portal",IF(AND(ISNUMBER(H65),H65&lt;=Lists!$N$5),"Final checks – submit at least a day early","Book writing time in the diary"))))))))))</f>
        <v/>
      </c>
      <c r="R65" s="42" t="str">
        <f aca="false">IF(ISNUMBER(H65),IF(AND(H65&gt;=0,H65&lt;=Lists!$N$4),G65+ROW()/100000,""),"")</f>
        <v/>
      </c>
    </row>
    <row r="66" customFormat="false" ht="27.75" hidden="false" customHeight="true" outlineLevel="0" collapsed="false">
      <c r="A66" s="38"/>
      <c r="B66" s="38"/>
      <c r="C66" s="38"/>
      <c r="D66" s="38"/>
      <c r="E66" s="44"/>
      <c r="F66" s="38"/>
      <c r="G66" s="39"/>
      <c r="H66" s="45" t="str">
        <f aca="true">IF(OR(B66="",G66=""),"",IF(OR(L66="Submitted",L66="Won",L66="Lost",L66="Withdrawn"),"",G66-TODAY()))</f>
        <v/>
      </c>
      <c r="I66" s="46"/>
      <c r="J66" s="41"/>
      <c r="K66" s="38"/>
      <c r="L66" s="38"/>
      <c r="M66" s="39"/>
      <c r="N66" s="39"/>
      <c r="O66" s="38"/>
      <c r="P66" s="38"/>
      <c r="Q66" s="42" t="str">
        <f aca="false">IF(B66="","",IF(AND(OR(L66="Won",L66="Lost"),N66=""),"Add the result date",IF(OR(L66="Won",L66="Lost"),IF(O66="","Ask the buyer for scores and feedback",IF(P66="","Write 1–3 lessons","Done")),IF(L66="Withdrawn","Done",IF(L66="Submitted","Wait for the result – diary the date given",IF(L66="Clarification","Answer the buyer’s questions by their deadline",IF(J66="No bid","Not bidding – set status to Withdrawn",IF(J66&lt;&gt;"Bid","Score it with ARB-BD-05, then decide",IF(AND(ISNUMBER(H66),H66&lt;0),"Deadline passed – check the portal",IF(AND(ISNUMBER(H66),H66&lt;=Lists!$N$5),"Final checks – submit at least a day early","Book writing time in the diary"))))))))))</f>
        <v/>
      </c>
      <c r="R66" s="42" t="str">
        <f aca="false">IF(ISNUMBER(H66),IF(AND(H66&gt;=0,H66&lt;=Lists!$N$4),G66+ROW()/100000,""),"")</f>
        <v/>
      </c>
    </row>
    <row r="67" customFormat="false" ht="27.75" hidden="false" customHeight="true" outlineLevel="0" collapsed="false">
      <c r="A67" s="38"/>
      <c r="B67" s="38"/>
      <c r="C67" s="38"/>
      <c r="D67" s="38"/>
      <c r="E67" s="44"/>
      <c r="F67" s="38"/>
      <c r="G67" s="39"/>
      <c r="H67" s="45" t="str">
        <f aca="true">IF(OR(B67="",G67=""),"",IF(OR(L67="Submitted",L67="Won",L67="Lost",L67="Withdrawn"),"",G67-TODAY()))</f>
        <v/>
      </c>
      <c r="I67" s="46"/>
      <c r="J67" s="41"/>
      <c r="K67" s="38"/>
      <c r="L67" s="38"/>
      <c r="M67" s="39"/>
      <c r="N67" s="39"/>
      <c r="O67" s="38"/>
      <c r="P67" s="38"/>
      <c r="Q67" s="42" t="str">
        <f aca="false">IF(B67="","",IF(AND(OR(L67="Won",L67="Lost"),N67=""),"Add the result date",IF(OR(L67="Won",L67="Lost"),IF(O67="","Ask the buyer for scores and feedback",IF(P67="","Write 1–3 lessons","Done")),IF(L67="Withdrawn","Done",IF(L67="Submitted","Wait for the result – diary the date given",IF(L67="Clarification","Answer the buyer’s questions by their deadline",IF(J67="No bid","Not bidding – set status to Withdrawn",IF(J67&lt;&gt;"Bid","Score it with ARB-BD-05, then decide",IF(AND(ISNUMBER(H67),H67&lt;0),"Deadline passed – check the portal",IF(AND(ISNUMBER(H67),H67&lt;=Lists!$N$5),"Final checks – submit at least a day early","Book writing time in the diary"))))))))))</f>
        <v/>
      </c>
      <c r="R67" s="42" t="str">
        <f aca="false">IF(ISNUMBER(H67),IF(AND(H67&gt;=0,H67&lt;=Lists!$N$4),G67+ROW()/100000,""),"")</f>
        <v/>
      </c>
    </row>
    <row r="68" customFormat="false" ht="27.75" hidden="false" customHeight="true" outlineLevel="0" collapsed="false">
      <c r="A68" s="38"/>
      <c r="B68" s="38"/>
      <c r="C68" s="38"/>
      <c r="D68" s="38"/>
      <c r="E68" s="44"/>
      <c r="F68" s="38"/>
      <c r="G68" s="39"/>
      <c r="H68" s="45" t="str">
        <f aca="true">IF(OR(B68="",G68=""),"",IF(OR(L68="Submitted",L68="Won",L68="Lost",L68="Withdrawn"),"",G68-TODAY()))</f>
        <v/>
      </c>
      <c r="I68" s="46"/>
      <c r="J68" s="41"/>
      <c r="K68" s="38"/>
      <c r="L68" s="38"/>
      <c r="M68" s="39"/>
      <c r="N68" s="39"/>
      <c r="O68" s="38"/>
      <c r="P68" s="38"/>
      <c r="Q68" s="42" t="str">
        <f aca="false">IF(B68="","",IF(AND(OR(L68="Won",L68="Lost"),N68=""),"Add the result date",IF(OR(L68="Won",L68="Lost"),IF(O68="","Ask the buyer for scores and feedback",IF(P68="","Write 1–3 lessons","Done")),IF(L68="Withdrawn","Done",IF(L68="Submitted","Wait for the result – diary the date given",IF(L68="Clarification","Answer the buyer’s questions by their deadline",IF(J68="No bid","Not bidding – set status to Withdrawn",IF(J68&lt;&gt;"Bid","Score it with ARB-BD-05, then decide",IF(AND(ISNUMBER(H68),H68&lt;0),"Deadline passed – check the portal",IF(AND(ISNUMBER(H68),H68&lt;=Lists!$N$5),"Final checks – submit at least a day early","Book writing time in the diary"))))))))))</f>
        <v/>
      </c>
      <c r="R68" s="42" t="str">
        <f aca="false">IF(ISNUMBER(H68),IF(AND(H68&gt;=0,H68&lt;=Lists!$N$4),G68+ROW()/100000,""),"")</f>
        <v/>
      </c>
    </row>
    <row r="69" customFormat="false" ht="27.75" hidden="false" customHeight="true" outlineLevel="0" collapsed="false">
      <c r="A69" s="38"/>
      <c r="B69" s="38"/>
      <c r="C69" s="38"/>
      <c r="D69" s="38"/>
      <c r="E69" s="44"/>
      <c r="F69" s="38"/>
      <c r="G69" s="39"/>
      <c r="H69" s="45" t="str">
        <f aca="true">IF(OR(B69="",G69=""),"",IF(OR(L69="Submitted",L69="Won",L69="Lost",L69="Withdrawn"),"",G69-TODAY()))</f>
        <v/>
      </c>
      <c r="I69" s="46"/>
      <c r="J69" s="41"/>
      <c r="K69" s="38"/>
      <c r="L69" s="38"/>
      <c r="M69" s="39"/>
      <c r="N69" s="39"/>
      <c r="O69" s="38"/>
      <c r="P69" s="38"/>
      <c r="Q69" s="42" t="str">
        <f aca="false">IF(B69="","",IF(AND(OR(L69="Won",L69="Lost"),N69=""),"Add the result date",IF(OR(L69="Won",L69="Lost"),IF(O69="","Ask the buyer for scores and feedback",IF(P69="","Write 1–3 lessons","Done")),IF(L69="Withdrawn","Done",IF(L69="Submitted","Wait for the result – diary the date given",IF(L69="Clarification","Answer the buyer’s questions by their deadline",IF(J69="No bid","Not bidding – set status to Withdrawn",IF(J69&lt;&gt;"Bid","Score it with ARB-BD-05, then decide",IF(AND(ISNUMBER(H69),H69&lt;0),"Deadline passed – check the portal",IF(AND(ISNUMBER(H69),H69&lt;=Lists!$N$5),"Final checks – submit at least a day early","Book writing time in the diary"))))))))))</f>
        <v/>
      </c>
      <c r="R69" s="42" t="str">
        <f aca="false">IF(ISNUMBER(H69),IF(AND(H69&gt;=0,H69&lt;=Lists!$N$4),G69+ROW()/100000,""),"")</f>
        <v/>
      </c>
    </row>
    <row r="70" customFormat="false" ht="27.75" hidden="false" customHeight="true" outlineLevel="0" collapsed="false">
      <c r="A70" s="38"/>
      <c r="B70" s="38"/>
      <c r="C70" s="38"/>
      <c r="D70" s="38"/>
      <c r="E70" s="44"/>
      <c r="F70" s="38"/>
      <c r="G70" s="39"/>
      <c r="H70" s="45" t="str">
        <f aca="true">IF(OR(B70="",G70=""),"",IF(OR(L70="Submitted",L70="Won",L70="Lost",L70="Withdrawn"),"",G70-TODAY()))</f>
        <v/>
      </c>
      <c r="I70" s="46"/>
      <c r="J70" s="41"/>
      <c r="K70" s="38"/>
      <c r="L70" s="38"/>
      <c r="M70" s="39"/>
      <c r="N70" s="39"/>
      <c r="O70" s="38"/>
      <c r="P70" s="38"/>
      <c r="Q70" s="42" t="str">
        <f aca="false">IF(B70="","",IF(AND(OR(L70="Won",L70="Lost"),N70=""),"Add the result date",IF(OR(L70="Won",L70="Lost"),IF(O70="","Ask the buyer for scores and feedback",IF(P70="","Write 1–3 lessons","Done")),IF(L70="Withdrawn","Done",IF(L70="Submitted","Wait for the result – diary the date given",IF(L70="Clarification","Answer the buyer’s questions by their deadline",IF(J70="No bid","Not bidding – set status to Withdrawn",IF(J70&lt;&gt;"Bid","Score it with ARB-BD-05, then decide",IF(AND(ISNUMBER(H70),H70&lt;0),"Deadline passed – check the portal",IF(AND(ISNUMBER(H70),H70&lt;=Lists!$N$5),"Final checks – submit at least a day early","Book writing time in the diary"))))))))))</f>
        <v/>
      </c>
      <c r="R70" s="42" t="str">
        <f aca="false">IF(ISNUMBER(H70),IF(AND(H70&gt;=0,H70&lt;=Lists!$N$4),G70+ROW()/100000,""),"")</f>
        <v/>
      </c>
    </row>
    <row r="71" customFormat="false" ht="27.75" hidden="false" customHeight="true" outlineLevel="0" collapsed="false">
      <c r="A71" s="38"/>
      <c r="B71" s="38"/>
      <c r="C71" s="38"/>
      <c r="D71" s="38"/>
      <c r="E71" s="44"/>
      <c r="F71" s="38"/>
      <c r="G71" s="39"/>
      <c r="H71" s="45" t="str">
        <f aca="true">IF(OR(B71="",G71=""),"",IF(OR(L71="Submitted",L71="Won",L71="Lost",L71="Withdrawn"),"",G71-TODAY()))</f>
        <v/>
      </c>
      <c r="I71" s="46"/>
      <c r="J71" s="41"/>
      <c r="K71" s="38"/>
      <c r="L71" s="38"/>
      <c r="M71" s="39"/>
      <c r="N71" s="39"/>
      <c r="O71" s="38"/>
      <c r="P71" s="38"/>
      <c r="Q71" s="42" t="str">
        <f aca="false">IF(B71="","",IF(AND(OR(L71="Won",L71="Lost"),N71=""),"Add the result date",IF(OR(L71="Won",L71="Lost"),IF(O71="","Ask the buyer for scores and feedback",IF(P71="","Write 1–3 lessons","Done")),IF(L71="Withdrawn","Done",IF(L71="Submitted","Wait for the result – diary the date given",IF(L71="Clarification","Answer the buyer’s questions by their deadline",IF(J71="No bid","Not bidding – set status to Withdrawn",IF(J71&lt;&gt;"Bid","Score it with ARB-BD-05, then decide",IF(AND(ISNUMBER(H71),H71&lt;0),"Deadline passed – check the portal",IF(AND(ISNUMBER(H71),H71&lt;=Lists!$N$5),"Final checks – submit at least a day early","Book writing time in the diary"))))))))))</f>
        <v/>
      </c>
      <c r="R71" s="42" t="str">
        <f aca="false">IF(ISNUMBER(H71),IF(AND(H71&gt;=0,H71&lt;=Lists!$N$4),G71+ROW()/100000,""),"")</f>
        <v/>
      </c>
    </row>
    <row r="72" customFormat="false" ht="27.75" hidden="false" customHeight="true" outlineLevel="0" collapsed="false">
      <c r="A72" s="38"/>
      <c r="B72" s="38"/>
      <c r="C72" s="38"/>
      <c r="D72" s="38"/>
      <c r="E72" s="44"/>
      <c r="F72" s="38"/>
      <c r="G72" s="39"/>
      <c r="H72" s="45" t="str">
        <f aca="true">IF(OR(B72="",G72=""),"",IF(OR(L72="Submitted",L72="Won",L72="Lost",L72="Withdrawn"),"",G72-TODAY()))</f>
        <v/>
      </c>
      <c r="I72" s="46"/>
      <c r="J72" s="41"/>
      <c r="K72" s="38"/>
      <c r="L72" s="38"/>
      <c r="M72" s="39"/>
      <c r="N72" s="39"/>
      <c r="O72" s="38"/>
      <c r="P72" s="38"/>
      <c r="Q72" s="42" t="str">
        <f aca="false">IF(B72="","",IF(AND(OR(L72="Won",L72="Lost"),N72=""),"Add the result date",IF(OR(L72="Won",L72="Lost"),IF(O72="","Ask the buyer for scores and feedback",IF(P72="","Write 1–3 lessons","Done")),IF(L72="Withdrawn","Done",IF(L72="Submitted","Wait for the result – diary the date given",IF(L72="Clarification","Answer the buyer’s questions by their deadline",IF(J72="No bid","Not bidding – set status to Withdrawn",IF(J72&lt;&gt;"Bid","Score it with ARB-BD-05, then decide",IF(AND(ISNUMBER(H72),H72&lt;0),"Deadline passed – check the portal",IF(AND(ISNUMBER(H72),H72&lt;=Lists!$N$5),"Final checks – submit at least a day early","Book writing time in the diary"))))))))))</f>
        <v/>
      </c>
      <c r="R72" s="42" t="str">
        <f aca="false">IF(ISNUMBER(H72),IF(AND(H72&gt;=0,H72&lt;=Lists!$N$4),G72+ROW()/100000,""),"")</f>
        <v/>
      </c>
    </row>
    <row r="73" customFormat="false" ht="27.75" hidden="false" customHeight="true" outlineLevel="0" collapsed="false">
      <c r="A73" s="38"/>
      <c r="B73" s="38"/>
      <c r="C73" s="38"/>
      <c r="D73" s="38"/>
      <c r="E73" s="44"/>
      <c r="F73" s="38"/>
      <c r="G73" s="39"/>
      <c r="H73" s="45" t="str">
        <f aca="true">IF(OR(B73="",G73=""),"",IF(OR(L73="Submitted",L73="Won",L73="Lost",L73="Withdrawn"),"",G73-TODAY()))</f>
        <v/>
      </c>
      <c r="I73" s="46"/>
      <c r="J73" s="41"/>
      <c r="K73" s="38"/>
      <c r="L73" s="38"/>
      <c r="M73" s="39"/>
      <c r="N73" s="39"/>
      <c r="O73" s="38"/>
      <c r="P73" s="38"/>
      <c r="Q73" s="42" t="str">
        <f aca="false">IF(B73="","",IF(AND(OR(L73="Won",L73="Lost"),N73=""),"Add the result date",IF(OR(L73="Won",L73="Lost"),IF(O73="","Ask the buyer for scores and feedback",IF(P73="","Write 1–3 lessons","Done")),IF(L73="Withdrawn","Done",IF(L73="Submitted","Wait for the result – diary the date given",IF(L73="Clarification","Answer the buyer’s questions by their deadline",IF(J73="No bid","Not bidding – set status to Withdrawn",IF(J73&lt;&gt;"Bid","Score it with ARB-BD-05, then decide",IF(AND(ISNUMBER(H73),H73&lt;0),"Deadline passed – check the portal",IF(AND(ISNUMBER(H73),H73&lt;=Lists!$N$5),"Final checks – submit at least a day early","Book writing time in the diary"))))))))))</f>
        <v/>
      </c>
      <c r="R73" s="42" t="str">
        <f aca="false">IF(ISNUMBER(H73),IF(AND(H73&gt;=0,H73&lt;=Lists!$N$4),G73+ROW()/100000,""),"")</f>
        <v/>
      </c>
    </row>
    <row r="74" customFormat="false" ht="27.75" hidden="false" customHeight="true" outlineLevel="0" collapsed="false">
      <c r="A74" s="38"/>
      <c r="B74" s="38"/>
      <c r="C74" s="38"/>
      <c r="D74" s="38"/>
      <c r="E74" s="44"/>
      <c r="F74" s="38"/>
      <c r="G74" s="39"/>
      <c r="H74" s="45" t="str">
        <f aca="true">IF(OR(B74="",G74=""),"",IF(OR(L74="Submitted",L74="Won",L74="Lost",L74="Withdrawn"),"",G74-TODAY()))</f>
        <v/>
      </c>
      <c r="I74" s="46"/>
      <c r="J74" s="41"/>
      <c r="K74" s="38"/>
      <c r="L74" s="38"/>
      <c r="M74" s="39"/>
      <c r="N74" s="39"/>
      <c r="O74" s="38"/>
      <c r="P74" s="38"/>
      <c r="Q74" s="42" t="str">
        <f aca="false">IF(B74="","",IF(AND(OR(L74="Won",L74="Lost"),N74=""),"Add the result date",IF(OR(L74="Won",L74="Lost"),IF(O74="","Ask the buyer for scores and feedback",IF(P74="","Write 1–3 lessons","Done")),IF(L74="Withdrawn","Done",IF(L74="Submitted","Wait for the result – diary the date given",IF(L74="Clarification","Answer the buyer’s questions by their deadline",IF(J74="No bid","Not bidding – set status to Withdrawn",IF(J74&lt;&gt;"Bid","Score it with ARB-BD-05, then decide",IF(AND(ISNUMBER(H74),H74&lt;0),"Deadline passed – check the portal",IF(AND(ISNUMBER(H74),H74&lt;=Lists!$N$5),"Final checks – submit at least a day early","Book writing time in the diary"))))))))))</f>
        <v/>
      </c>
      <c r="R74" s="42" t="str">
        <f aca="false">IF(ISNUMBER(H74),IF(AND(H74&gt;=0,H74&lt;=Lists!$N$4),G74+ROW()/100000,""),"")</f>
        <v/>
      </c>
    </row>
    <row r="75" customFormat="false" ht="27.75" hidden="false" customHeight="true" outlineLevel="0" collapsed="false">
      <c r="A75" s="38"/>
      <c r="B75" s="38"/>
      <c r="C75" s="38"/>
      <c r="D75" s="38"/>
      <c r="E75" s="44"/>
      <c r="F75" s="38"/>
      <c r="G75" s="39"/>
      <c r="H75" s="45" t="str">
        <f aca="true">IF(OR(B75="",G75=""),"",IF(OR(L75="Submitted",L75="Won",L75="Lost",L75="Withdrawn"),"",G75-TODAY()))</f>
        <v/>
      </c>
      <c r="I75" s="46"/>
      <c r="J75" s="41"/>
      <c r="K75" s="38"/>
      <c r="L75" s="38"/>
      <c r="M75" s="39"/>
      <c r="N75" s="39"/>
      <c r="O75" s="38"/>
      <c r="P75" s="38"/>
      <c r="Q75" s="42" t="str">
        <f aca="false">IF(B75="","",IF(AND(OR(L75="Won",L75="Lost"),N75=""),"Add the result date",IF(OR(L75="Won",L75="Lost"),IF(O75="","Ask the buyer for scores and feedback",IF(P75="","Write 1–3 lessons","Done")),IF(L75="Withdrawn","Done",IF(L75="Submitted","Wait for the result – diary the date given",IF(L75="Clarification","Answer the buyer’s questions by their deadline",IF(J75="No bid","Not bidding – set status to Withdrawn",IF(J75&lt;&gt;"Bid","Score it with ARB-BD-05, then decide",IF(AND(ISNUMBER(H75),H75&lt;0),"Deadline passed – check the portal",IF(AND(ISNUMBER(H75),H75&lt;=Lists!$N$5),"Final checks – submit at least a day early","Book writing time in the diary"))))))))))</f>
        <v/>
      </c>
      <c r="R75" s="42" t="str">
        <f aca="false">IF(ISNUMBER(H75),IF(AND(H75&gt;=0,H75&lt;=Lists!$N$4),G75+ROW()/100000,""),"")</f>
        <v/>
      </c>
    </row>
    <row r="76" customFormat="false" ht="27.75" hidden="false" customHeight="true" outlineLevel="0" collapsed="false">
      <c r="A76" s="38"/>
      <c r="B76" s="38"/>
      <c r="C76" s="38"/>
      <c r="D76" s="38"/>
      <c r="E76" s="44"/>
      <c r="F76" s="38"/>
      <c r="G76" s="39"/>
      <c r="H76" s="45" t="str">
        <f aca="true">IF(OR(B76="",G76=""),"",IF(OR(L76="Submitted",L76="Won",L76="Lost",L76="Withdrawn"),"",G76-TODAY()))</f>
        <v/>
      </c>
      <c r="I76" s="46"/>
      <c r="J76" s="41"/>
      <c r="K76" s="38"/>
      <c r="L76" s="38"/>
      <c r="M76" s="39"/>
      <c r="N76" s="39"/>
      <c r="O76" s="38"/>
      <c r="P76" s="38"/>
      <c r="Q76" s="42" t="str">
        <f aca="false">IF(B76="","",IF(AND(OR(L76="Won",L76="Lost"),N76=""),"Add the result date",IF(OR(L76="Won",L76="Lost"),IF(O76="","Ask the buyer for scores and feedback",IF(P76="","Write 1–3 lessons","Done")),IF(L76="Withdrawn","Done",IF(L76="Submitted","Wait for the result – diary the date given",IF(L76="Clarification","Answer the buyer’s questions by their deadline",IF(J76="No bid","Not bidding – set status to Withdrawn",IF(J76&lt;&gt;"Bid","Score it with ARB-BD-05, then decide",IF(AND(ISNUMBER(H76),H76&lt;0),"Deadline passed – check the portal",IF(AND(ISNUMBER(H76),H76&lt;=Lists!$N$5),"Final checks – submit at least a day early","Book writing time in the diary"))))))))))</f>
        <v/>
      </c>
      <c r="R76" s="42" t="str">
        <f aca="false">IF(ISNUMBER(H76),IF(AND(H76&gt;=0,H76&lt;=Lists!$N$4),G76+ROW()/100000,""),"")</f>
        <v/>
      </c>
    </row>
    <row r="77" customFormat="false" ht="27.75" hidden="false" customHeight="true" outlineLevel="0" collapsed="false">
      <c r="A77" s="38"/>
      <c r="B77" s="38"/>
      <c r="C77" s="38"/>
      <c r="D77" s="38"/>
      <c r="E77" s="44"/>
      <c r="F77" s="38"/>
      <c r="G77" s="39"/>
      <c r="H77" s="45" t="str">
        <f aca="true">IF(OR(B77="",G77=""),"",IF(OR(L77="Submitted",L77="Won",L77="Lost",L77="Withdrawn"),"",G77-TODAY()))</f>
        <v/>
      </c>
      <c r="I77" s="46"/>
      <c r="J77" s="41"/>
      <c r="K77" s="38"/>
      <c r="L77" s="38"/>
      <c r="M77" s="39"/>
      <c r="N77" s="39"/>
      <c r="O77" s="38"/>
      <c r="P77" s="38"/>
      <c r="Q77" s="42" t="str">
        <f aca="false">IF(B77="","",IF(AND(OR(L77="Won",L77="Lost"),N77=""),"Add the result date",IF(OR(L77="Won",L77="Lost"),IF(O77="","Ask the buyer for scores and feedback",IF(P77="","Write 1–3 lessons","Done")),IF(L77="Withdrawn","Done",IF(L77="Submitted","Wait for the result – diary the date given",IF(L77="Clarification","Answer the buyer’s questions by their deadline",IF(J77="No bid","Not bidding – set status to Withdrawn",IF(J77&lt;&gt;"Bid","Score it with ARB-BD-05, then decide",IF(AND(ISNUMBER(H77),H77&lt;0),"Deadline passed – check the portal",IF(AND(ISNUMBER(H77),H77&lt;=Lists!$N$5),"Final checks – submit at least a day early","Book writing time in the diary"))))))))))</f>
        <v/>
      </c>
      <c r="R77" s="42" t="str">
        <f aca="false">IF(ISNUMBER(H77),IF(AND(H77&gt;=0,H77&lt;=Lists!$N$4),G77+ROW()/100000,""),"")</f>
        <v/>
      </c>
    </row>
    <row r="78" customFormat="false" ht="27.75" hidden="false" customHeight="true" outlineLevel="0" collapsed="false">
      <c r="A78" s="38"/>
      <c r="B78" s="38"/>
      <c r="C78" s="38"/>
      <c r="D78" s="38"/>
      <c r="E78" s="44"/>
      <c r="F78" s="38"/>
      <c r="G78" s="39"/>
      <c r="H78" s="45" t="str">
        <f aca="true">IF(OR(B78="",G78=""),"",IF(OR(L78="Submitted",L78="Won",L78="Lost",L78="Withdrawn"),"",G78-TODAY()))</f>
        <v/>
      </c>
      <c r="I78" s="46"/>
      <c r="J78" s="41"/>
      <c r="K78" s="38"/>
      <c r="L78" s="38"/>
      <c r="M78" s="39"/>
      <c r="N78" s="39"/>
      <c r="O78" s="38"/>
      <c r="P78" s="38"/>
      <c r="Q78" s="42" t="str">
        <f aca="false">IF(B78="","",IF(AND(OR(L78="Won",L78="Lost"),N78=""),"Add the result date",IF(OR(L78="Won",L78="Lost"),IF(O78="","Ask the buyer for scores and feedback",IF(P78="","Write 1–3 lessons","Done")),IF(L78="Withdrawn","Done",IF(L78="Submitted","Wait for the result – diary the date given",IF(L78="Clarification","Answer the buyer’s questions by their deadline",IF(J78="No bid","Not bidding – set status to Withdrawn",IF(J78&lt;&gt;"Bid","Score it with ARB-BD-05, then decide",IF(AND(ISNUMBER(H78),H78&lt;0),"Deadline passed – check the portal",IF(AND(ISNUMBER(H78),H78&lt;=Lists!$N$5),"Final checks – submit at least a day early","Book writing time in the diary"))))))))))</f>
        <v/>
      </c>
      <c r="R78" s="42" t="str">
        <f aca="false">IF(ISNUMBER(H78),IF(AND(H78&gt;=0,H78&lt;=Lists!$N$4),G78+ROW()/100000,""),"")</f>
        <v/>
      </c>
    </row>
    <row r="79" customFormat="false" ht="27.75" hidden="false" customHeight="true" outlineLevel="0" collapsed="false">
      <c r="A79" s="38"/>
      <c r="B79" s="38"/>
      <c r="C79" s="38"/>
      <c r="D79" s="38"/>
      <c r="E79" s="44"/>
      <c r="F79" s="38"/>
      <c r="G79" s="39"/>
      <c r="H79" s="45" t="str">
        <f aca="true">IF(OR(B79="",G79=""),"",IF(OR(L79="Submitted",L79="Won",L79="Lost",L79="Withdrawn"),"",G79-TODAY()))</f>
        <v/>
      </c>
      <c r="I79" s="46"/>
      <c r="J79" s="41"/>
      <c r="K79" s="38"/>
      <c r="L79" s="38"/>
      <c r="M79" s="39"/>
      <c r="N79" s="39"/>
      <c r="O79" s="38"/>
      <c r="P79" s="38"/>
      <c r="Q79" s="42" t="str">
        <f aca="false">IF(B79="","",IF(AND(OR(L79="Won",L79="Lost"),N79=""),"Add the result date",IF(OR(L79="Won",L79="Lost"),IF(O79="","Ask the buyer for scores and feedback",IF(P79="","Write 1–3 lessons","Done")),IF(L79="Withdrawn","Done",IF(L79="Submitted","Wait for the result – diary the date given",IF(L79="Clarification","Answer the buyer’s questions by their deadline",IF(J79="No bid","Not bidding – set status to Withdrawn",IF(J79&lt;&gt;"Bid","Score it with ARB-BD-05, then decide",IF(AND(ISNUMBER(H79),H79&lt;0),"Deadline passed – check the portal",IF(AND(ISNUMBER(H79),H79&lt;=Lists!$N$5),"Final checks – submit at least a day early","Book writing time in the diary"))))))))))</f>
        <v/>
      </c>
      <c r="R79" s="42" t="str">
        <f aca="false">IF(ISNUMBER(H79),IF(AND(H79&gt;=0,H79&lt;=Lists!$N$4),G79+ROW()/100000,""),"")</f>
        <v/>
      </c>
    </row>
    <row r="80" customFormat="false" ht="27.75" hidden="false" customHeight="true" outlineLevel="0" collapsed="false">
      <c r="A80" s="38"/>
      <c r="B80" s="38"/>
      <c r="C80" s="38"/>
      <c r="D80" s="38"/>
      <c r="E80" s="44"/>
      <c r="F80" s="38"/>
      <c r="G80" s="39"/>
      <c r="H80" s="45" t="str">
        <f aca="true">IF(OR(B80="",G80=""),"",IF(OR(L80="Submitted",L80="Won",L80="Lost",L80="Withdrawn"),"",G80-TODAY()))</f>
        <v/>
      </c>
      <c r="I80" s="46"/>
      <c r="J80" s="41"/>
      <c r="K80" s="38"/>
      <c r="L80" s="38"/>
      <c r="M80" s="39"/>
      <c r="N80" s="39"/>
      <c r="O80" s="38"/>
      <c r="P80" s="38"/>
      <c r="Q80" s="42" t="str">
        <f aca="false">IF(B80="","",IF(AND(OR(L80="Won",L80="Lost"),N80=""),"Add the result date",IF(OR(L80="Won",L80="Lost"),IF(O80="","Ask the buyer for scores and feedback",IF(P80="","Write 1–3 lessons","Done")),IF(L80="Withdrawn","Done",IF(L80="Submitted","Wait for the result – diary the date given",IF(L80="Clarification","Answer the buyer’s questions by their deadline",IF(J80="No bid","Not bidding – set status to Withdrawn",IF(J80&lt;&gt;"Bid","Score it with ARB-BD-05, then decide",IF(AND(ISNUMBER(H80),H80&lt;0),"Deadline passed – check the portal",IF(AND(ISNUMBER(H80),H80&lt;=Lists!$N$5),"Final checks – submit at least a day early","Book writing time in the diary"))))))))))</f>
        <v/>
      </c>
      <c r="R80" s="42" t="str">
        <f aca="false">IF(ISNUMBER(H80),IF(AND(H80&gt;=0,H80&lt;=Lists!$N$4),G80+ROW()/100000,""),"")</f>
        <v/>
      </c>
    </row>
    <row r="81" customFormat="false" ht="27.75" hidden="false" customHeight="true" outlineLevel="0" collapsed="false">
      <c r="A81" s="38"/>
      <c r="B81" s="38"/>
      <c r="C81" s="38"/>
      <c r="D81" s="38"/>
      <c r="E81" s="44"/>
      <c r="F81" s="38"/>
      <c r="G81" s="39"/>
      <c r="H81" s="45" t="str">
        <f aca="true">IF(OR(B81="",G81=""),"",IF(OR(L81="Submitted",L81="Won",L81="Lost",L81="Withdrawn"),"",G81-TODAY()))</f>
        <v/>
      </c>
      <c r="I81" s="46"/>
      <c r="J81" s="41"/>
      <c r="K81" s="38"/>
      <c r="L81" s="38"/>
      <c r="M81" s="39"/>
      <c r="N81" s="39"/>
      <c r="O81" s="38"/>
      <c r="P81" s="38"/>
      <c r="Q81" s="42" t="str">
        <f aca="false">IF(B81="","",IF(AND(OR(L81="Won",L81="Lost"),N81=""),"Add the result date",IF(OR(L81="Won",L81="Lost"),IF(O81="","Ask the buyer for scores and feedback",IF(P81="","Write 1–3 lessons","Done")),IF(L81="Withdrawn","Done",IF(L81="Submitted","Wait for the result – diary the date given",IF(L81="Clarification","Answer the buyer’s questions by their deadline",IF(J81="No bid","Not bidding – set status to Withdrawn",IF(J81&lt;&gt;"Bid","Score it with ARB-BD-05, then decide",IF(AND(ISNUMBER(H81),H81&lt;0),"Deadline passed – check the portal",IF(AND(ISNUMBER(H81),H81&lt;=Lists!$N$5),"Final checks – submit at least a day early","Book writing time in the diary"))))))))))</f>
        <v/>
      </c>
      <c r="R81" s="42" t="str">
        <f aca="false">IF(ISNUMBER(H81),IF(AND(H81&gt;=0,H81&lt;=Lists!$N$4),G81+ROW()/100000,""),"")</f>
        <v/>
      </c>
    </row>
    <row r="82" customFormat="false" ht="27.75" hidden="false" customHeight="true" outlineLevel="0" collapsed="false">
      <c r="A82" s="38"/>
      <c r="B82" s="38"/>
      <c r="C82" s="38"/>
      <c r="D82" s="38"/>
      <c r="E82" s="44"/>
      <c r="F82" s="38"/>
      <c r="G82" s="39"/>
      <c r="H82" s="45" t="str">
        <f aca="true">IF(OR(B82="",G82=""),"",IF(OR(L82="Submitted",L82="Won",L82="Lost",L82="Withdrawn"),"",G82-TODAY()))</f>
        <v/>
      </c>
      <c r="I82" s="46"/>
      <c r="J82" s="41"/>
      <c r="K82" s="38"/>
      <c r="L82" s="38"/>
      <c r="M82" s="39"/>
      <c r="N82" s="39"/>
      <c r="O82" s="38"/>
      <c r="P82" s="38"/>
      <c r="Q82" s="42" t="str">
        <f aca="false">IF(B82="","",IF(AND(OR(L82="Won",L82="Lost"),N82=""),"Add the result date",IF(OR(L82="Won",L82="Lost"),IF(O82="","Ask the buyer for scores and feedback",IF(P82="","Write 1–3 lessons","Done")),IF(L82="Withdrawn","Done",IF(L82="Submitted","Wait for the result – diary the date given",IF(L82="Clarification","Answer the buyer’s questions by their deadline",IF(J82="No bid","Not bidding – set status to Withdrawn",IF(J82&lt;&gt;"Bid","Score it with ARB-BD-05, then decide",IF(AND(ISNUMBER(H82),H82&lt;0),"Deadline passed – check the portal",IF(AND(ISNUMBER(H82),H82&lt;=Lists!$N$5),"Final checks – submit at least a day early","Book writing time in the diary"))))))))))</f>
        <v/>
      </c>
      <c r="R82" s="42" t="str">
        <f aca="false">IF(ISNUMBER(H82),IF(AND(H82&gt;=0,H82&lt;=Lists!$N$4),G82+ROW()/100000,""),"")</f>
        <v/>
      </c>
    </row>
    <row r="83" customFormat="false" ht="27.75" hidden="false" customHeight="true" outlineLevel="0" collapsed="false">
      <c r="A83" s="38"/>
      <c r="B83" s="38"/>
      <c r="C83" s="38"/>
      <c r="D83" s="38"/>
      <c r="E83" s="44"/>
      <c r="F83" s="38"/>
      <c r="G83" s="39"/>
      <c r="H83" s="45" t="str">
        <f aca="true">IF(OR(B83="",G83=""),"",IF(OR(L83="Submitted",L83="Won",L83="Lost",L83="Withdrawn"),"",G83-TODAY()))</f>
        <v/>
      </c>
      <c r="I83" s="46"/>
      <c r="J83" s="41"/>
      <c r="K83" s="38"/>
      <c r="L83" s="38"/>
      <c r="M83" s="39"/>
      <c r="N83" s="39"/>
      <c r="O83" s="38"/>
      <c r="P83" s="38"/>
      <c r="Q83" s="42" t="str">
        <f aca="false">IF(B83="","",IF(AND(OR(L83="Won",L83="Lost"),N83=""),"Add the result date",IF(OR(L83="Won",L83="Lost"),IF(O83="","Ask the buyer for scores and feedback",IF(P83="","Write 1–3 lessons","Done")),IF(L83="Withdrawn","Done",IF(L83="Submitted","Wait for the result – diary the date given",IF(L83="Clarification","Answer the buyer’s questions by their deadline",IF(J83="No bid","Not bidding – set status to Withdrawn",IF(J83&lt;&gt;"Bid","Score it with ARB-BD-05, then decide",IF(AND(ISNUMBER(H83),H83&lt;0),"Deadline passed – check the portal",IF(AND(ISNUMBER(H83),H83&lt;=Lists!$N$5),"Final checks – submit at least a day early","Book writing time in the diary"))))))))))</f>
        <v/>
      </c>
      <c r="R83" s="42" t="str">
        <f aca="false">IF(ISNUMBER(H83),IF(AND(H83&gt;=0,H83&lt;=Lists!$N$4),G83+ROW()/100000,""),"")</f>
        <v/>
      </c>
    </row>
    <row r="84" customFormat="false" ht="27.75" hidden="false" customHeight="true" outlineLevel="0" collapsed="false">
      <c r="A84" s="38"/>
      <c r="B84" s="38"/>
      <c r="C84" s="38"/>
      <c r="D84" s="38"/>
      <c r="E84" s="44"/>
      <c r="F84" s="38"/>
      <c r="G84" s="39"/>
      <c r="H84" s="45" t="str">
        <f aca="true">IF(OR(B84="",G84=""),"",IF(OR(L84="Submitted",L84="Won",L84="Lost",L84="Withdrawn"),"",G84-TODAY()))</f>
        <v/>
      </c>
      <c r="I84" s="46"/>
      <c r="J84" s="41"/>
      <c r="K84" s="38"/>
      <c r="L84" s="38"/>
      <c r="M84" s="39"/>
      <c r="N84" s="39"/>
      <c r="O84" s="38"/>
      <c r="P84" s="38"/>
      <c r="Q84" s="42" t="str">
        <f aca="false">IF(B84="","",IF(AND(OR(L84="Won",L84="Lost"),N84=""),"Add the result date",IF(OR(L84="Won",L84="Lost"),IF(O84="","Ask the buyer for scores and feedback",IF(P84="","Write 1–3 lessons","Done")),IF(L84="Withdrawn","Done",IF(L84="Submitted","Wait for the result – diary the date given",IF(L84="Clarification","Answer the buyer’s questions by their deadline",IF(J84="No bid","Not bidding – set status to Withdrawn",IF(J84&lt;&gt;"Bid","Score it with ARB-BD-05, then decide",IF(AND(ISNUMBER(H84),H84&lt;0),"Deadline passed – check the portal",IF(AND(ISNUMBER(H84),H84&lt;=Lists!$N$5),"Final checks – submit at least a day early","Book writing time in the diary"))))))))))</f>
        <v/>
      </c>
      <c r="R84" s="42" t="str">
        <f aca="false">IF(ISNUMBER(H84),IF(AND(H84&gt;=0,H84&lt;=Lists!$N$4),G84+ROW()/100000,""),"")</f>
        <v/>
      </c>
    </row>
    <row r="85" customFormat="false" ht="27.75" hidden="false" customHeight="true" outlineLevel="0" collapsed="false">
      <c r="A85" s="38"/>
      <c r="B85" s="38"/>
      <c r="C85" s="38"/>
      <c r="D85" s="38"/>
      <c r="E85" s="44"/>
      <c r="F85" s="38"/>
      <c r="G85" s="39"/>
      <c r="H85" s="45" t="str">
        <f aca="true">IF(OR(B85="",G85=""),"",IF(OR(L85="Submitted",L85="Won",L85="Lost",L85="Withdrawn"),"",G85-TODAY()))</f>
        <v/>
      </c>
      <c r="I85" s="46"/>
      <c r="J85" s="41"/>
      <c r="K85" s="38"/>
      <c r="L85" s="38"/>
      <c r="M85" s="39"/>
      <c r="N85" s="39"/>
      <c r="O85" s="38"/>
      <c r="P85" s="38"/>
      <c r="Q85" s="42" t="str">
        <f aca="false">IF(B85="","",IF(AND(OR(L85="Won",L85="Lost"),N85=""),"Add the result date",IF(OR(L85="Won",L85="Lost"),IF(O85="","Ask the buyer for scores and feedback",IF(P85="","Write 1–3 lessons","Done")),IF(L85="Withdrawn","Done",IF(L85="Submitted","Wait for the result – diary the date given",IF(L85="Clarification","Answer the buyer’s questions by their deadline",IF(J85="No bid","Not bidding – set status to Withdrawn",IF(J85&lt;&gt;"Bid","Score it with ARB-BD-05, then decide",IF(AND(ISNUMBER(H85),H85&lt;0),"Deadline passed – check the portal",IF(AND(ISNUMBER(H85),H85&lt;=Lists!$N$5),"Final checks – submit at least a day early","Book writing time in the diary"))))))))))</f>
        <v/>
      </c>
      <c r="R85" s="42" t="str">
        <f aca="false">IF(ISNUMBER(H85),IF(AND(H85&gt;=0,H85&lt;=Lists!$N$4),G85+ROW()/100000,""),"")</f>
        <v/>
      </c>
    </row>
    <row r="86" customFormat="false" ht="27.75" hidden="false" customHeight="true" outlineLevel="0" collapsed="false">
      <c r="A86" s="38"/>
      <c r="B86" s="38"/>
      <c r="C86" s="38"/>
      <c r="D86" s="38"/>
      <c r="E86" s="44"/>
      <c r="F86" s="38"/>
      <c r="G86" s="39"/>
      <c r="H86" s="45" t="str">
        <f aca="true">IF(OR(B86="",G86=""),"",IF(OR(L86="Submitted",L86="Won",L86="Lost",L86="Withdrawn"),"",G86-TODAY()))</f>
        <v/>
      </c>
      <c r="I86" s="46"/>
      <c r="J86" s="41"/>
      <c r="K86" s="38"/>
      <c r="L86" s="38"/>
      <c r="M86" s="39"/>
      <c r="N86" s="39"/>
      <c r="O86" s="38"/>
      <c r="P86" s="38"/>
      <c r="Q86" s="42" t="str">
        <f aca="false">IF(B86="","",IF(AND(OR(L86="Won",L86="Lost"),N86=""),"Add the result date",IF(OR(L86="Won",L86="Lost"),IF(O86="","Ask the buyer for scores and feedback",IF(P86="","Write 1–3 lessons","Done")),IF(L86="Withdrawn","Done",IF(L86="Submitted","Wait for the result – diary the date given",IF(L86="Clarification","Answer the buyer’s questions by their deadline",IF(J86="No bid","Not bidding – set status to Withdrawn",IF(J86&lt;&gt;"Bid","Score it with ARB-BD-05, then decide",IF(AND(ISNUMBER(H86),H86&lt;0),"Deadline passed – check the portal",IF(AND(ISNUMBER(H86),H86&lt;=Lists!$N$5),"Final checks – submit at least a day early","Book writing time in the diary"))))))))))</f>
        <v/>
      </c>
      <c r="R86" s="42" t="str">
        <f aca="false">IF(ISNUMBER(H86),IF(AND(H86&gt;=0,H86&lt;=Lists!$N$4),G86+ROW()/100000,""),"")</f>
        <v/>
      </c>
    </row>
    <row r="87" customFormat="false" ht="27.75" hidden="false" customHeight="true" outlineLevel="0" collapsed="false">
      <c r="A87" s="38"/>
      <c r="B87" s="38"/>
      <c r="C87" s="38"/>
      <c r="D87" s="38"/>
      <c r="E87" s="44"/>
      <c r="F87" s="38"/>
      <c r="G87" s="39"/>
      <c r="H87" s="45" t="str">
        <f aca="true">IF(OR(B87="",G87=""),"",IF(OR(L87="Submitted",L87="Won",L87="Lost",L87="Withdrawn"),"",G87-TODAY()))</f>
        <v/>
      </c>
      <c r="I87" s="46"/>
      <c r="J87" s="41"/>
      <c r="K87" s="38"/>
      <c r="L87" s="38"/>
      <c r="M87" s="39"/>
      <c r="N87" s="39"/>
      <c r="O87" s="38"/>
      <c r="P87" s="38"/>
      <c r="Q87" s="42" t="str">
        <f aca="false">IF(B87="","",IF(AND(OR(L87="Won",L87="Lost"),N87=""),"Add the result date",IF(OR(L87="Won",L87="Lost"),IF(O87="","Ask the buyer for scores and feedback",IF(P87="","Write 1–3 lessons","Done")),IF(L87="Withdrawn","Done",IF(L87="Submitted","Wait for the result – diary the date given",IF(L87="Clarification","Answer the buyer’s questions by their deadline",IF(J87="No bid","Not bidding – set status to Withdrawn",IF(J87&lt;&gt;"Bid","Score it with ARB-BD-05, then decide",IF(AND(ISNUMBER(H87),H87&lt;0),"Deadline passed – check the portal",IF(AND(ISNUMBER(H87),H87&lt;=Lists!$N$5),"Final checks – submit at least a day early","Book writing time in the diary"))))))))))</f>
        <v/>
      </c>
      <c r="R87" s="42" t="str">
        <f aca="false">IF(ISNUMBER(H87),IF(AND(H87&gt;=0,H87&lt;=Lists!$N$4),G87+ROW()/100000,""),"")</f>
        <v/>
      </c>
    </row>
    <row r="88" customFormat="false" ht="27.75" hidden="false" customHeight="true" outlineLevel="0" collapsed="false">
      <c r="A88" s="38"/>
      <c r="B88" s="38"/>
      <c r="C88" s="38"/>
      <c r="D88" s="38"/>
      <c r="E88" s="44"/>
      <c r="F88" s="38"/>
      <c r="G88" s="39"/>
      <c r="H88" s="45" t="str">
        <f aca="true">IF(OR(B88="",G88=""),"",IF(OR(L88="Submitted",L88="Won",L88="Lost",L88="Withdrawn"),"",G88-TODAY()))</f>
        <v/>
      </c>
      <c r="I88" s="46"/>
      <c r="J88" s="41"/>
      <c r="K88" s="38"/>
      <c r="L88" s="38"/>
      <c r="M88" s="39"/>
      <c r="N88" s="39"/>
      <c r="O88" s="38"/>
      <c r="P88" s="38"/>
      <c r="Q88" s="42" t="str">
        <f aca="false">IF(B88="","",IF(AND(OR(L88="Won",L88="Lost"),N88=""),"Add the result date",IF(OR(L88="Won",L88="Lost"),IF(O88="","Ask the buyer for scores and feedback",IF(P88="","Write 1–3 lessons","Done")),IF(L88="Withdrawn","Done",IF(L88="Submitted","Wait for the result – diary the date given",IF(L88="Clarification","Answer the buyer’s questions by their deadline",IF(J88="No bid","Not bidding – set status to Withdrawn",IF(J88&lt;&gt;"Bid","Score it with ARB-BD-05, then decide",IF(AND(ISNUMBER(H88),H88&lt;0),"Deadline passed – check the portal",IF(AND(ISNUMBER(H88),H88&lt;=Lists!$N$5),"Final checks – submit at least a day early","Book writing time in the diary"))))))))))</f>
        <v/>
      </c>
      <c r="R88" s="42" t="str">
        <f aca="false">IF(ISNUMBER(H88),IF(AND(H88&gt;=0,H88&lt;=Lists!$N$4),G88+ROW()/100000,""),"")</f>
        <v/>
      </c>
    </row>
    <row r="89" customFormat="false" ht="27.75" hidden="false" customHeight="true" outlineLevel="0" collapsed="false">
      <c r="A89" s="38"/>
      <c r="B89" s="38"/>
      <c r="C89" s="38"/>
      <c r="D89" s="38"/>
      <c r="E89" s="44"/>
      <c r="F89" s="38"/>
      <c r="G89" s="39"/>
      <c r="H89" s="45" t="str">
        <f aca="true">IF(OR(B89="",G89=""),"",IF(OR(L89="Submitted",L89="Won",L89="Lost",L89="Withdrawn"),"",G89-TODAY()))</f>
        <v/>
      </c>
      <c r="I89" s="46"/>
      <c r="J89" s="41"/>
      <c r="K89" s="38"/>
      <c r="L89" s="38"/>
      <c r="M89" s="39"/>
      <c r="N89" s="39"/>
      <c r="O89" s="38"/>
      <c r="P89" s="38"/>
      <c r="Q89" s="42" t="str">
        <f aca="false">IF(B89="","",IF(AND(OR(L89="Won",L89="Lost"),N89=""),"Add the result date",IF(OR(L89="Won",L89="Lost"),IF(O89="","Ask the buyer for scores and feedback",IF(P89="","Write 1–3 lessons","Done")),IF(L89="Withdrawn","Done",IF(L89="Submitted","Wait for the result – diary the date given",IF(L89="Clarification","Answer the buyer’s questions by their deadline",IF(J89="No bid","Not bidding – set status to Withdrawn",IF(J89&lt;&gt;"Bid","Score it with ARB-BD-05, then decide",IF(AND(ISNUMBER(H89),H89&lt;0),"Deadline passed – check the portal",IF(AND(ISNUMBER(H89),H89&lt;=Lists!$N$5),"Final checks – submit at least a day early","Book writing time in the diary"))))))))))</f>
        <v/>
      </c>
      <c r="R89" s="42" t="str">
        <f aca="false">IF(ISNUMBER(H89),IF(AND(H89&gt;=0,H89&lt;=Lists!$N$4),G89+ROW()/100000,""),"")</f>
        <v/>
      </c>
    </row>
    <row r="90" customFormat="false" ht="27.75" hidden="false" customHeight="true" outlineLevel="0" collapsed="false">
      <c r="A90" s="38"/>
      <c r="B90" s="38"/>
      <c r="C90" s="38"/>
      <c r="D90" s="38"/>
      <c r="E90" s="44"/>
      <c r="F90" s="38"/>
      <c r="G90" s="39"/>
      <c r="H90" s="45" t="str">
        <f aca="true">IF(OR(B90="",G90=""),"",IF(OR(L90="Submitted",L90="Won",L90="Lost",L90="Withdrawn"),"",G90-TODAY()))</f>
        <v/>
      </c>
      <c r="I90" s="46"/>
      <c r="J90" s="41"/>
      <c r="K90" s="38"/>
      <c r="L90" s="38"/>
      <c r="M90" s="39"/>
      <c r="N90" s="39"/>
      <c r="O90" s="38"/>
      <c r="P90" s="38"/>
      <c r="Q90" s="42" t="str">
        <f aca="false">IF(B90="","",IF(AND(OR(L90="Won",L90="Lost"),N90=""),"Add the result date",IF(OR(L90="Won",L90="Lost"),IF(O90="","Ask the buyer for scores and feedback",IF(P90="","Write 1–3 lessons","Done")),IF(L90="Withdrawn","Done",IF(L90="Submitted","Wait for the result – diary the date given",IF(L90="Clarification","Answer the buyer’s questions by their deadline",IF(J90="No bid","Not bidding – set status to Withdrawn",IF(J90&lt;&gt;"Bid","Score it with ARB-BD-05, then decide",IF(AND(ISNUMBER(H90),H90&lt;0),"Deadline passed – check the portal",IF(AND(ISNUMBER(H90),H90&lt;=Lists!$N$5),"Final checks – submit at least a day early","Book writing time in the diary"))))))))))</f>
        <v/>
      </c>
      <c r="R90" s="42" t="str">
        <f aca="false">IF(ISNUMBER(H90),IF(AND(H90&gt;=0,H90&lt;=Lists!$N$4),G90+ROW()/100000,""),"")</f>
        <v/>
      </c>
    </row>
    <row r="91" customFormat="false" ht="27.75" hidden="false" customHeight="true" outlineLevel="0" collapsed="false">
      <c r="A91" s="38"/>
      <c r="B91" s="38"/>
      <c r="C91" s="38"/>
      <c r="D91" s="38"/>
      <c r="E91" s="44"/>
      <c r="F91" s="38"/>
      <c r="G91" s="39"/>
      <c r="H91" s="45" t="str">
        <f aca="true">IF(OR(B91="",G91=""),"",IF(OR(L91="Submitted",L91="Won",L91="Lost",L91="Withdrawn"),"",G91-TODAY()))</f>
        <v/>
      </c>
      <c r="I91" s="46"/>
      <c r="J91" s="41"/>
      <c r="K91" s="38"/>
      <c r="L91" s="38"/>
      <c r="M91" s="39"/>
      <c r="N91" s="39"/>
      <c r="O91" s="38"/>
      <c r="P91" s="38"/>
      <c r="Q91" s="42" t="str">
        <f aca="false">IF(B91="","",IF(AND(OR(L91="Won",L91="Lost"),N91=""),"Add the result date",IF(OR(L91="Won",L91="Lost"),IF(O91="","Ask the buyer for scores and feedback",IF(P91="","Write 1–3 lessons","Done")),IF(L91="Withdrawn","Done",IF(L91="Submitted","Wait for the result – diary the date given",IF(L91="Clarification","Answer the buyer’s questions by their deadline",IF(J91="No bid","Not bidding – set status to Withdrawn",IF(J91&lt;&gt;"Bid","Score it with ARB-BD-05, then decide",IF(AND(ISNUMBER(H91),H91&lt;0),"Deadline passed – check the portal",IF(AND(ISNUMBER(H91),H91&lt;=Lists!$N$5),"Final checks – submit at least a day early","Book writing time in the diary"))))))))))</f>
        <v/>
      </c>
      <c r="R91" s="42" t="str">
        <f aca="false">IF(ISNUMBER(H91),IF(AND(H91&gt;=0,H91&lt;=Lists!$N$4),G91+ROW()/100000,""),"")</f>
        <v/>
      </c>
    </row>
    <row r="92" customFormat="false" ht="27.75" hidden="false" customHeight="true" outlineLevel="0" collapsed="false">
      <c r="A92" s="38"/>
      <c r="B92" s="38"/>
      <c r="C92" s="38"/>
      <c r="D92" s="38"/>
      <c r="E92" s="44"/>
      <c r="F92" s="38"/>
      <c r="G92" s="39"/>
      <c r="H92" s="45" t="str">
        <f aca="true">IF(OR(B92="",G92=""),"",IF(OR(L92="Submitted",L92="Won",L92="Lost",L92="Withdrawn"),"",G92-TODAY()))</f>
        <v/>
      </c>
      <c r="I92" s="46"/>
      <c r="J92" s="41"/>
      <c r="K92" s="38"/>
      <c r="L92" s="38"/>
      <c r="M92" s="39"/>
      <c r="N92" s="39"/>
      <c r="O92" s="38"/>
      <c r="P92" s="38"/>
      <c r="Q92" s="42" t="str">
        <f aca="false">IF(B92="","",IF(AND(OR(L92="Won",L92="Lost"),N92=""),"Add the result date",IF(OR(L92="Won",L92="Lost"),IF(O92="","Ask the buyer for scores and feedback",IF(P92="","Write 1–3 lessons","Done")),IF(L92="Withdrawn","Done",IF(L92="Submitted","Wait for the result – diary the date given",IF(L92="Clarification","Answer the buyer’s questions by their deadline",IF(J92="No bid","Not bidding – set status to Withdrawn",IF(J92&lt;&gt;"Bid","Score it with ARB-BD-05, then decide",IF(AND(ISNUMBER(H92),H92&lt;0),"Deadline passed – check the portal",IF(AND(ISNUMBER(H92),H92&lt;=Lists!$N$5),"Final checks – submit at least a day early","Book writing time in the diary"))))))))))</f>
        <v/>
      </c>
      <c r="R92" s="42" t="str">
        <f aca="false">IF(ISNUMBER(H92),IF(AND(H92&gt;=0,H92&lt;=Lists!$N$4),G92+ROW()/100000,""),"")</f>
        <v/>
      </c>
    </row>
    <row r="93" customFormat="false" ht="27.75" hidden="false" customHeight="true" outlineLevel="0" collapsed="false">
      <c r="A93" s="38"/>
      <c r="B93" s="38"/>
      <c r="C93" s="38"/>
      <c r="D93" s="38"/>
      <c r="E93" s="44"/>
      <c r="F93" s="38"/>
      <c r="G93" s="39"/>
      <c r="H93" s="45" t="str">
        <f aca="true">IF(OR(B93="",G93=""),"",IF(OR(L93="Submitted",L93="Won",L93="Lost",L93="Withdrawn"),"",G93-TODAY()))</f>
        <v/>
      </c>
      <c r="I93" s="46"/>
      <c r="J93" s="41"/>
      <c r="K93" s="38"/>
      <c r="L93" s="38"/>
      <c r="M93" s="39"/>
      <c r="N93" s="39"/>
      <c r="O93" s="38"/>
      <c r="P93" s="38"/>
      <c r="Q93" s="42" t="str">
        <f aca="false">IF(B93="","",IF(AND(OR(L93="Won",L93="Lost"),N93=""),"Add the result date",IF(OR(L93="Won",L93="Lost"),IF(O93="","Ask the buyer for scores and feedback",IF(P93="","Write 1–3 lessons","Done")),IF(L93="Withdrawn","Done",IF(L93="Submitted","Wait for the result – diary the date given",IF(L93="Clarification","Answer the buyer’s questions by their deadline",IF(J93="No bid","Not bidding – set status to Withdrawn",IF(J93&lt;&gt;"Bid","Score it with ARB-BD-05, then decide",IF(AND(ISNUMBER(H93),H93&lt;0),"Deadline passed – check the portal",IF(AND(ISNUMBER(H93),H93&lt;=Lists!$N$5),"Final checks – submit at least a day early","Book writing time in the diary"))))))))))</f>
        <v/>
      </c>
      <c r="R93" s="42" t="str">
        <f aca="false">IF(ISNUMBER(H93),IF(AND(H93&gt;=0,H93&lt;=Lists!$N$4),G93+ROW()/100000,""),"")</f>
        <v/>
      </c>
    </row>
    <row r="94" customFormat="false" ht="27.75" hidden="false" customHeight="true" outlineLevel="0" collapsed="false">
      <c r="A94" s="38"/>
      <c r="B94" s="38"/>
      <c r="C94" s="38"/>
      <c r="D94" s="38"/>
      <c r="E94" s="44"/>
      <c r="F94" s="38"/>
      <c r="G94" s="39"/>
      <c r="H94" s="45" t="str">
        <f aca="true">IF(OR(B94="",G94=""),"",IF(OR(L94="Submitted",L94="Won",L94="Lost",L94="Withdrawn"),"",G94-TODAY()))</f>
        <v/>
      </c>
      <c r="I94" s="46"/>
      <c r="J94" s="41"/>
      <c r="K94" s="38"/>
      <c r="L94" s="38"/>
      <c r="M94" s="39"/>
      <c r="N94" s="39"/>
      <c r="O94" s="38"/>
      <c r="P94" s="38"/>
      <c r="Q94" s="42" t="str">
        <f aca="false">IF(B94="","",IF(AND(OR(L94="Won",L94="Lost"),N94=""),"Add the result date",IF(OR(L94="Won",L94="Lost"),IF(O94="","Ask the buyer for scores and feedback",IF(P94="","Write 1–3 lessons","Done")),IF(L94="Withdrawn","Done",IF(L94="Submitted","Wait for the result – diary the date given",IF(L94="Clarification","Answer the buyer’s questions by their deadline",IF(J94="No bid","Not bidding – set status to Withdrawn",IF(J94&lt;&gt;"Bid","Score it with ARB-BD-05, then decide",IF(AND(ISNUMBER(H94),H94&lt;0),"Deadline passed – check the portal",IF(AND(ISNUMBER(H94),H94&lt;=Lists!$N$5),"Final checks – submit at least a day early","Book writing time in the diary"))))))))))</f>
        <v/>
      </c>
      <c r="R94" s="42" t="str">
        <f aca="false">IF(ISNUMBER(H94),IF(AND(H94&gt;=0,H94&lt;=Lists!$N$4),G94+ROW()/100000,""),"")</f>
        <v/>
      </c>
    </row>
    <row r="95" customFormat="false" ht="27.75" hidden="false" customHeight="true" outlineLevel="0" collapsed="false">
      <c r="A95" s="38"/>
      <c r="B95" s="38"/>
      <c r="C95" s="38"/>
      <c r="D95" s="38"/>
      <c r="E95" s="44"/>
      <c r="F95" s="38"/>
      <c r="G95" s="39"/>
      <c r="H95" s="45" t="str">
        <f aca="true">IF(OR(B95="",G95=""),"",IF(OR(L95="Submitted",L95="Won",L95="Lost",L95="Withdrawn"),"",G95-TODAY()))</f>
        <v/>
      </c>
      <c r="I95" s="46"/>
      <c r="J95" s="41"/>
      <c r="K95" s="38"/>
      <c r="L95" s="38"/>
      <c r="M95" s="39"/>
      <c r="N95" s="39"/>
      <c r="O95" s="38"/>
      <c r="P95" s="38"/>
      <c r="Q95" s="42" t="str">
        <f aca="false">IF(B95="","",IF(AND(OR(L95="Won",L95="Lost"),N95=""),"Add the result date",IF(OR(L95="Won",L95="Lost"),IF(O95="","Ask the buyer for scores and feedback",IF(P95="","Write 1–3 lessons","Done")),IF(L95="Withdrawn","Done",IF(L95="Submitted","Wait for the result – diary the date given",IF(L95="Clarification","Answer the buyer’s questions by their deadline",IF(J95="No bid","Not bidding – set status to Withdrawn",IF(J95&lt;&gt;"Bid","Score it with ARB-BD-05, then decide",IF(AND(ISNUMBER(H95),H95&lt;0),"Deadline passed – check the portal",IF(AND(ISNUMBER(H95),H95&lt;=Lists!$N$5),"Final checks – submit at least a day early","Book writing time in the diary"))))))))))</f>
        <v/>
      </c>
      <c r="R95" s="42" t="str">
        <f aca="false">IF(ISNUMBER(H95),IF(AND(H95&gt;=0,H95&lt;=Lists!$N$4),G95+ROW()/100000,""),"")</f>
        <v/>
      </c>
    </row>
    <row r="96" customFormat="false" ht="27.75" hidden="false" customHeight="true" outlineLevel="0" collapsed="false">
      <c r="A96" s="38"/>
      <c r="B96" s="38"/>
      <c r="C96" s="38"/>
      <c r="D96" s="38"/>
      <c r="E96" s="44"/>
      <c r="F96" s="38"/>
      <c r="G96" s="39"/>
      <c r="H96" s="45" t="str">
        <f aca="true">IF(OR(B96="",G96=""),"",IF(OR(L96="Submitted",L96="Won",L96="Lost",L96="Withdrawn"),"",G96-TODAY()))</f>
        <v/>
      </c>
      <c r="I96" s="46"/>
      <c r="J96" s="41"/>
      <c r="K96" s="38"/>
      <c r="L96" s="38"/>
      <c r="M96" s="39"/>
      <c r="N96" s="39"/>
      <c r="O96" s="38"/>
      <c r="P96" s="38"/>
      <c r="Q96" s="42" t="str">
        <f aca="false">IF(B96="","",IF(AND(OR(L96="Won",L96="Lost"),N96=""),"Add the result date",IF(OR(L96="Won",L96="Lost"),IF(O96="","Ask the buyer for scores and feedback",IF(P96="","Write 1–3 lessons","Done")),IF(L96="Withdrawn","Done",IF(L96="Submitted","Wait for the result – diary the date given",IF(L96="Clarification","Answer the buyer’s questions by their deadline",IF(J96="No bid","Not bidding – set status to Withdrawn",IF(J96&lt;&gt;"Bid","Score it with ARB-BD-05, then decide",IF(AND(ISNUMBER(H96),H96&lt;0),"Deadline passed – check the portal",IF(AND(ISNUMBER(H96),H96&lt;=Lists!$N$5),"Final checks – submit at least a day early","Book writing time in the diary"))))))))))</f>
        <v/>
      </c>
      <c r="R96" s="42" t="str">
        <f aca="false">IF(ISNUMBER(H96),IF(AND(H96&gt;=0,H96&lt;=Lists!$N$4),G96+ROW()/100000,""),"")</f>
        <v/>
      </c>
    </row>
    <row r="97" customFormat="false" ht="27.75" hidden="false" customHeight="true" outlineLevel="0" collapsed="false">
      <c r="A97" s="38"/>
      <c r="B97" s="38"/>
      <c r="C97" s="38"/>
      <c r="D97" s="38"/>
      <c r="E97" s="44"/>
      <c r="F97" s="38"/>
      <c r="G97" s="39"/>
      <c r="H97" s="45" t="str">
        <f aca="true">IF(OR(B97="",G97=""),"",IF(OR(L97="Submitted",L97="Won",L97="Lost",L97="Withdrawn"),"",G97-TODAY()))</f>
        <v/>
      </c>
      <c r="I97" s="46"/>
      <c r="J97" s="41"/>
      <c r="K97" s="38"/>
      <c r="L97" s="38"/>
      <c r="M97" s="39"/>
      <c r="N97" s="39"/>
      <c r="O97" s="38"/>
      <c r="P97" s="38"/>
      <c r="Q97" s="42" t="str">
        <f aca="false">IF(B97="","",IF(AND(OR(L97="Won",L97="Lost"),N97=""),"Add the result date",IF(OR(L97="Won",L97="Lost"),IF(O97="","Ask the buyer for scores and feedback",IF(P97="","Write 1–3 lessons","Done")),IF(L97="Withdrawn","Done",IF(L97="Submitted","Wait for the result – diary the date given",IF(L97="Clarification","Answer the buyer’s questions by their deadline",IF(J97="No bid","Not bidding – set status to Withdrawn",IF(J97&lt;&gt;"Bid","Score it with ARB-BD-05, then decide",IF(AND(ISNUMBER(H97),H97&lt;0),"Deadline passed – check the portal",IF(AND(ISNUMBER(H97),H97&lt;=Lists!$N$5),"Final checks – submit at least a day early","Book writing time in the diary"))))))))))</f>
        <v/>
      </c>
      <c r="R97" s="42" t="str">
        <f aca="false">IF(ISNUMBER(H97),IF(AND(H97&gt;=0,H97&lt;=Lists!$N$4),G97+ROW()/100000,""),"")</f>
        <v/>
      </c>
    </row>
    <row r="98" customFormat="false" ht="27.75" hidden="false" customHeight="true" outlineLevel="0" collapsed="false">
      <c r="A98" s="38"/>
      <c r="B98" s="38"/>
      <c r="C98" s="38"/>
      <c r="D98" s="38"/>
      <c r="E98" s="44"/>
      <c r="F98" s="38"/>
      <c r="G98" s="39"/>
      <c r="H98" s="45" t="str">
        <f aca="true">IF(OR(B98="",G98=""),"",IF(OR(L98="Submitted",L98="Won",L98="Lost",L98="Withdrawn"),"",G98-TODAY()))</f>
        <v/>
      </c>
      <c r="I98" s="46"/>
      <c r="J98" s="41"/>
      <c r="K98" s="38"/>
      <c r="L98" s="38"/>
      <c r="M98" s="39"/>
      <c r="N98" s="39"/>
      <c r="O98" s="38"/>
      <c r="P98" s="38"/>
      <c r="Q98" s="42" t="str">
        <f aca="false">IF(B98="","",IF(AND(OR(L98="Won",L98="Lost"),N98=""),"Add the result date",IF(OR(L98="Won",L98="Lost"),IF(O98="","Ask the buyer for scores and feedback",IF(P98="","Write 1–3 lessons","Done")),IF(L98="Withdrawn","Done",IF(L98="Submitted","Wait for the result – diary the date given",IF(L98="Clarification","Answer the buyer’s questions by their deadline",IF(J98="No bid","Not bidding – set status to Withdrawn",IF(J98&lt;&gt;"Bid","Score it with ARB-BD-05, then decide",IF(AND(ISNUMBER(H98),H98&lt;0),"Deadline passed – check the portal",IF(AND(ISNUMBER(H98),H98&lt;=Lists!$N$5),"Final checks – submit at least a day early","Book writing time in the diary"))))))))))</f>
        <v/>
      </c>
      <c r="R98" s="42" t="str">
        <f aca="false">IF(ISNUMBER(H98),IF(AND(H98&gt;=0,H98&lt;=Lists!$N$4),G98+ROW()/100000,""),"")</f>
        <v/>
      </c>
    </row>
    <row r="99" customFormat="false" ht="27.75" hidden="false" customHeight="true" outlineLevel="0" collapsed="false">
      <c r="A99" s="38"/>
      <c r="B99" s="38"/>
      <c r="C99" s="38"/>
      <c r="D99" s="38"/>
      <c r="E99" s="44"/>
      <c r="F99" s="38"/>
      <c r="G99" s="39"/>
      <c r="H99" s="45" t="str">
        <f aca="true">IF(OR(B99="",G99=""),"",IF(OR(L99="Submitted",L99="Won",L99="Lost",L99="Withdrawn"),"",G99-TODAY()))</f>
        <v/>
      </c>
      <c r="I99" s="46"/>
      <c r="J99" s="41"/>
      <c r="K99" s="38"/>
      <c r="L99" s="38"/>
      <c r="M99" s="39"/>
      <c r="N99" s="39"/>
      <c r="O99" s="38"/>
      <c r="P99" s="38"/>
      <c r="Q99" s="42" t="str">
        <f aca="false">IF(B99="","",IF(AND(OR(L99="Won",L99="Lost"),N99=""),"Add the result date",IF(OR(L99="Won",L99="Lost"),IF(O99="","Ask the buyer for scores and feedback",IF(P99="","Write 1–3 lessons","Done")),IF(L99="Withdrawn","Done",IF(L99="Submitted","Wait for the result – diary the date given",IF(L99="Clarification","Answer the buyer’s questions by their deadline",IF(J99="No bid","Not bidding – set status to Withdrawn",IF(J99&lt;&gt;"Bid","Score it with ARB-BD-05, then decide",IF(AND(ISNUMBER(H99),H99&lt;0),"Deadline passed – check the portal",IF(AND(ISNUMBER(H99),H99&lt;=Lists!$N$5),"Final checks – submit at least a day early","Book writing time in the diary"))))))))))</f>
        <v/>
      </c>
      <c r="R99" s="42" t="str">
        <f aca="false">IF(ISNUMBER(H99),IF(AND(H99&gt;=0,H99&lt;=Lists!$N$4),G99+ROW()/100000,""),"")</f>
        <v/>
      </c>
    </row>
    <row r="100" customFormat="false" ht="27.75" hidden="false" customHeight="true" outlineLevel="0" collapsed="false">
      <c r="A100" s="38"/>
      <c r="B100" s="38"/>
      <c r="C100" s="38"/>
      <c r="D100" s="38"/>
      <c r="E100" s="44"/>
      <c r="F100" s="38"/>
      <c r="G100" s="39"/>
      <c r="H100" s="45" t="str">
        <f aca="true">IF(OR(B100="",G100=""),"",IF(OR(L100="Submitted",L100="Won",L100="Lost",L100="Withdrawn"),"",G100-TODAY()))</f>
        <v/>
      </c>
      <c r="I100" s="46"/>
      <c r="J100" s="41"/>
      <c r="K100" s="38"/>
      <c r="L100" s="38"/>
      <c r="M100" s="39"/>
      <c r="N100" s="39"/>
      <c r="O100" s="38"/>
      <c r="P100" s="38"/>
      <c r="Q100" s="42" t="str">
        <f aca="false">IF(B100="","",IF(AND(OR(L100="Won",L100="Lost"),N100=""),"Add the result date",IF(OR(L100="Won",L100="Lost"),IF(O100="","Ask the buyer for scores and feedback",IF(P100="","Write 1–3 lessons","Done")),IF(L100="Withdrawn","Done",IF(L100="Submitted","Wait for the result – diary the date given",IF(L100="Clarification","Answer the buyer’s questions by their deadline",IF(J100="No bid","Not bidding – set status to Withdrawn",IF(J100&lt;&gt;"Bid","Score it with ARB-BD-05, then decide",IF(AND(ISNUMBER(H100),H100&lt;0),"Deadline passed – check the portal",IF(AND(ISNUMBER(H100),H100&lt;=Lists!$N$5),"Final checks – submit at least a day early","Book writing time in the diary"))))))))))</f>
        <v/>
      </c>
      <c r="R100" s="42" t="str">
        <f aca="false">IF(ISNUMBER(H100),IF(AND(H100&gt;=0,H100&lt;=Lists!$N$4),G100+ROW()/100000,""),"")</f>
        <v/>
      </c>
    </row>
    <row r="101" customFormat="false" ht="27.75" hidden="false" customHeight="true" outlineLevel="0" collapsed="false">
      <c r="A101" s="38"/>
      <c r="B101" s="38"/>
      <c r="C101" s="38"/>
      <c r="D101" s="38"/>
      <c r="E101" s="44"/>
      <c r="F101" s="38"/>
      <c r="G101" s="39"/>
      <c r="H101" s="45" t="str">
        <f aca="true">IF(OR(B101="",G101=""),"",IF(OR(L101="Submitted",L101="Won",L101="Lost",L101="Withdrawn"),"",G101-TODAY()))</f>
        <v/>
      </c>
      <c r="I101" s="46"/>
      <c r="J101" s="41"/>
      <c r="K101" s="38"/>
      <c r="L101" s="38"/>
      <c r="M101" s="39"/>
      <c r="N101" s="39"/>
      <c r="O101" s="38"/>
      <c r="P101" s="38"/>
      <c r="Q101" s="42" t="str">
        <f aca="false">IF(B101="","",IF(AND(OR(L101="Won",L101="Lost"),N101=""),"Add the result date",IF(OR(L101="Won",L101="Lost"),IF(O101="","Ask the buyer for scores and feedback",IF(P101="","Write 1–3 lessons","Done")),IF(L101="Withdrawn","Done",IF(L101="Submitted","Wait for the result – diary the date given",IF(L101="Clarification","Answer the buyer’s questions by their deadline",IF(J101="No bid","Not bidding – set status to Withdrawn",IF(J101&lt;&gt;"Bid","Score it with ARB-BD-05, then decide",IF(AND(ISNUMBER(H101),H101&lt;0),"Deadline passed – check the portal",IF(AND(ISNUMBER(H101),H101&lt;=Lists!$N$5),"Final checks – submit at least a day early","Book writing time in the diary"))))))))))</f>
        <v/>
      </c>
      <c r="R101" s="42" t="str">
        <f aca="false">IF(ISNUMBER(H101),IF(AND(H101&gt;=0,H101&lt;=Lists!$N$4),G101+ROW()/100000,""),"")</f>
        <v/>
      </c>
    </row>
    <row r="102" customFormat="false" ht="27.75" hidden="false" customHeight="true" outlineLevel="0" collapsed="false">
      <c r="A102" s="38"/>
      <c r="B102" s="38"/>
      <c r="C102" s="38"/>
      <c r="D102" s="38"/>
      <c r="E102" s="44"/>
      <c r="F102" s="38"/>
      <c r="G102" s="39"/>
      <c r="H102" s="45" t="str">
        <f aca="true">IF(OR(B102="",G102=""),"",IF(OR(L102="Submitted",L102="Won",L102="Lost",L102="Withdrawn"),"",G102-TODAY()))</f>
        <v/>
      </c>
      <c r="I102" s="46"/>
      <c r="J102" s="41"/>
      <c r="K102" s="38"/>
      <c r="L102" s="38"/>
      <c r="M102" s="39"/>
      <c r="N102" s="39"/>
      <c r="O102" s="38"/>
      <c r="P102" s="38"/>
      <c r="Q102" s="42" t="str">
        <f aca="false">IF(B102="","",IF(AND(OR(L102="Won",L102="Lost"),N102=""),"Add the result date",IF(OR(L102="Won",L102="Lost"),IF(O102="","Ask the buyer for scores and feedback",IF(P102="","Write 1–3 lessons","Done")),IF(L102="Withdrawn","Done",IF(L102="Submitted","Wait for the result – diary the date given",IF(L102="Clarification","Answer the buyer’s questions by their deadline",IF(J102="No bid","Not bidding – set status to Withdrawn",IF(J102&lt;&gt;"Bid","Score it with ARB-BD-05, then decide",IF(AND(ISNUMBER(H102),H102&lt;0),"Deadline passed – check the portal",IF(AND(ISNUMBER(H102),H102&lt;=Lists!$N$5),"Final checks – submit at least a day early","Book writing time in the diary"))))))))))</f>
        <v/>
      </c>
      <c r="R102" s="42" t="str">
        <f aca="false">IF(ISNUMBER(H102),IF(AND(H102&gt;=0,H102&lt;=Lists!$N$4),G102+ROW()/100000,""),"")</f>
        <v/>
      </c>
    </row>
    <row r="103" customFormat="false" ht="27.75" hidden="false" customHeight="true" outlineLevel="0" collapsed="false">
      <c r="A103" s="38"/>
      <c r="B103" s="38"/>
      <c r="C103" s="38"/>
      <c r="D103" s="38"/>
      <c r="E103" s="44"/>
      <c r="F103" s="38"/>
      <c r="G103" s="39"/>
      <c r="H103" s="45" t="str">
        <f aca="true">IF(OR(B103="",G103=""),"",IF(OR(L103="Submitted",L103="Won",L103="Lost",L103="Withdrawn"),"",G103-TODAY()))</f>
        <v/>
      </c>
      <c r="I103" s="46"/>
      <c r="J103" s="41"/>
      <c r="K103" s="38"/>
      <c r="L103" s="38"/>
      <c r="M103" s="39"/>
      <c r="N103" s="39"/>
      <c r="O103" s="38"/>
      <c r="P103" s="38"/>
      <c r="Q103" s="42" t="str">
        <f aca="false">IF(B103="","",IF(AND(OR(L103="Won",L103="Lost"),N103=""),"Add the result date",IF(OR(L103="Won",L103="Lost"),IF(O103="","Ask the buyer for scores and feedback",IF(P103="","Write 1–3 lessons","Done")),IF(L103="Withdrawn","Done",IF(L103="Submitted","Wait for the result – diary the date given",IF(L103="Clarification","Answer the buyer’s questions by their deadline",IF(J103="No bid","Not bidding – set status to Withdrawn",IF(J103&lt;&gt;"Bid","Score it with ARB-BD-05, then decide",IF(AND(ISNUMBER(H103),H103&lt;0),"Deadline passed – check the portal",IF(AND(ISNUMBER(H103),H103&lt;=Lists!$N$5),"Final checks – submit at least a day early","Book writing time in the diary"))))))))))</f>
        <v/>
      </c>
      <c r="R103" s="42" t="str">
        <f aca="false">IF(ISNUMBER(H103),IF(AND(H103&gt;=0,H103&lt;=Lists!$N$4),G103+ROW()/100000,""),"")</f>
        <v/>
      </c>
    </row>
    <row r="104" customFormat="false" ht="27.75" hidden="false" customHeight="true" outlineLevel="0" collapsed="false">
      <c r="A104" s="38"/>
      <c r="B104" s="38"/>
      <c r="C104" s="38"/>
      <c r="D104" s="38"/>
      <c r="E104" s="44"/>
      <c r="F104" s="38"/>
      <c r="G104" s="39"/>
      <c r="H104" s="45" t="str">
        <f aca="true">IF(OR(B104="",G104=""),"",IF(OR(L104="Submitted",L104="Won",L104="Lost",L104="Withdrawn"),"",G104-TODAY()))</f>
        <v/>
      </c>
      <c r="I104" s="46"/>
      <c r="J104" s="41"/>
      <c r="K104" s="38"/>
      <c r="L104" s="38"/>
      <c r="M104" s="39"/>
      <c r="N104" s="39"/>
      <c r="O104" s="38"/>
      <c r="P104" s="38"/>
      <c r="Q104" s="42" t="str">
        <f aca="false">IF(B104="","",IF(AND(OR(L104="Won",L104="Lost"),N104=""),"Add the result date",IF(OR(L104="Won",L104="Lost"),IF(O104="","Ask the buyer for scores and feedback",IF(P104="","Write 1–3 lessons","Done")),IF(L104="Withdrawn","Done",IF(L104="Submitted","Wait for the result – diary the date given",IF(L104="Clarification","Answer the buyer’s questions by their deadline",IF(J104="No bid","Not bidding – set status to Withdrawn",IF(J104&lt;&gt;"Bid","Score it with ARB-BD-05, then decide",IF(AND(ISNUMBER(H104),H104&lt;0),"Deadline passed – check the portal",IF(AND(ISNUMBER(H104),H104&lt;=Lists!$N$5),"Final checks – submit at least a day early","Book writing time in the diary"))))))))))</f>
        <v/>
      </c>
      <c r="R104" s="42" t="str">
        <f aca="false">IF(ISNUMBER(H104),IF(AND(H104&gt;=0,H104&lt;=Lists!$N$4),G104+ROW()/100000,""),"")</f>
        <v/>
      </c>
    </row>
    <row r="105" customFormat="false" ht="27.75" hidden="false" customHeight="true" outlineLevel="0" collapsed="false">
      <c r="A105" s="38"/>
      <c r="B105" s="38"/>
      <c r="C105" s="38"/>
      <c r="D105" s="38"/>
      <c r="E105" s="44"/>
      <c r="F105" s="38"/>
      <c r="G105" s="39"/>
      <c r="H105" s="45" t="str">
        <f aca="true">IF(OR(B105="",G105=""),"",IF(OR(L105="Submitted",L105="Won",L105="Lost",L105="Withdrawn"),"",G105-TODAY()))</f>
        <v/>
      </c>
      <c r="I105" s="46"/>
      <c r="J105" s="41"/>
      <c r="K105" s="38"/>
      <c r="L105" s="38"/>
      <c r="M105" s="39"/>
      <c r="N105" s="39"/>
      <c r="O105" s="38"/>
      <c r="P105" s="38"/>
      <c r="Q105" s="42" t="str">
        <f aca="false">IF(B105="","",IF(AND(OR(L105="Won",L105="Lost"),N105=""),"Add the result date",IF(OR(L105="Won",L105="Lost"),IF(O105="","Ask the buyer for scores and feedback",IF(P105="","Write 1–3 lessons","Done")),IF(L105="Withdrawn","Done",IF(L105="Submitted","Wait for the result – diary the date given",IF(L105="Clarification","Answer the buyer’s questions by their deadline",IF(J105="No bid","Not bidding – set status to Withdrawn",IF(J105&lt;&gt;"Bid","Score it with ARB-BD-05, then decide",IF(AND(ISNUMBER(H105),H105&lt;0),"Deadline passed – check the portal",IF(AND(ISNUMBER(H105),H105&lt;=Lists!$N$5),"Final checks – submit at least a day early","Book writing time in the diary"))))))))))</f>
        <v/>
      </c>
      <c r="R105" s="42" t="str">
        <f aca="false">IF(ISNUMBER(H105),IF(AND(H105&gt;=0,H105&lt;=Lists!$N$4),G105+ROW()/100000,""),"")</f>
        <v/>
      </c>
    </row>
  </sheetData>
  <sheetProtection sheet="true" formatColumns="false" formatRows="false" sort="false" autoFilter="false"/>
  <autoFilter ref="A4:Q105"/>
  <mergeCells count="3">
    <mergeCell ref="A3:G3"/>
    <mergeCell ref="H3:L3"/>
    <mergeCell ref="M3:Q3"/>
  </mergeCells>
  <conditionalFormatting sqref="H6:H105">
    <cfRule type="expression" priority="2" aboveAverage="0" equalAverage="0" bottom="0" percent="0" rank="0" text="" dxfId="15">
      <formula>AND(ISNUMBER(H6),H6&lt;=Lists!$N$5)</formula>
    </cfRule>
  </conditionalFormatting>
  <conditionalFormatting sqref="A6:Q105">
    <cfRule type="expression" priority="3" aboveAverage="0" equalAverage="0" bottom="0" percent="0" rank="0" text="" dxfId="18">
      <formula>$L6="Won"</formula>
    </cfRule>
    <cfRule type="expression" priority="4" aboveAverage="0" equalAverage="0" bottom="0" percent="0" rank="0" text="" dxfId="19">
      <formula>OR($L6="Lost",$L6="Withdrawn")</formula>
    </cfRule>
  </conditionalFormatting>
  <conditionalFormatting sqref="Q6:Q105">
    <cfRule type="expression" priority="5" aboveAverage="0" equalAverage="0" bottom="0" percent="0" rank="0" text="" dxfId="3">
      <formula>OR(LEFT(Q6,5)="Final",LEFT(Q6,8)="Deadline",LEFT(Q6,3)="Add")</formula>
    </cfRule>
  </conditionalFormatting>
  <conditionalFormatting sqref="N6:N105">
    <cfRule type="expression" priority="6" aboveAverage="0" equalAverage="0" bottom="0" percent="0" rank="0" text="" dxfId="5">
      <formula>AND(OR($L6="Won",$L6="Lost"),N6="")</formula>
    </cfRule>
  </conditionalFormatting>
  <dataValidations count="6">
    <dataValidation allowBlank="true" error="Numbers only, no £ sign." errorStyle="stop" operator="greaterThanOrEqual" showDropDown="false" showErrorMessage="true" showInputMessage="false" sqref="E6:E105" type="decimal">
      <formula1>0</formula1>
      <formula2>0</formula2>
    </dataValidation>
    <dataValidation allowBlank="true" errorStyle="stop" operator="between" showDropDown="false" showErrorMessage="false" showInputMessage="false" sqref="D6:D105" type="list">
      <formula1>Lists!$G$2:$G$31</formula1>
      <formula2>0</formula2>
    </dataValidation>
    <dataValidation allowBlank="true" errorStyle="stop" operator="between" showDropDown="false" showErrorMessage="false" showInputMessage="false" sqref="J6:J105" type="list">
      <formula1>Lists!$H$2:$H$31</formula1>
      <formula2>0</formula2>
    </dataValidation>
    <dataValidation allowBlank="true" errorStyle="stop" operator="between" showDropDown="false" showErrorMessage="false" showInputMessage="false" sqref="L6:L105" type="list">
      <formula1>Lists!$F$2:$F$31</formula1>
      <formula2>0</formula2>
    </dataValidation>
    <dataValidation allowBlank="true" error="Enter a date as DD/MM/YYYY." errorStyle="stop" operator="greaterThan" showDropDown="false" showErrorMessage="true" showInputMessage="false" sqref="G6:G105 M6:N105" type="date">
      <formula1>1</formula1>
      <formula2>0</formula2>
    </dataValidation>
    <dataValidation allowBlank="true" error="Enter a whole number from 0 to 100 (from ARB-BD-05)." errorStyle="stop" operator="between" showDropDown="false" showErrorMessage="true" showInputMessage="false" sqref="I6:I105" type="whole">
      <formula1>0</formula1>
      <formula2>100</formula2>
    </dataValidation>
  </dataValidations>
  <printOptions headings="false" gridLines="false" gridLinesSet="true" horizontalCentered="false" verticalCentered="false"/>
  <pageMargins left="0.4" right="0.4"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26"/>
    <col collapsed="false" customWidth="true" hidden="false" outlineLevel="0" max="3" min="3" style="0" width="9"/>
    <col collapsed="false" customWidth="true" hidden="false" outlineLevel="0" max="4" min="4" style="0" width="12"/>
    <col collapsed="false" customWidth="true" hidden="false" outlineLevel="0" max="5" min="5" style="0" width="11"/>
    <col collapsed="false" customWidth="true" hidden="false" outlineLevel="0" max="6" min="6" style="0" width="9"/>
    <col collapsed="false" customWidth="true" hidden="false" outlineLevel="0" max="10" min="7" style="0" width="12"/>
    <col collapsed="false" customWidth="true" hidden="false" outlineLevel="0" max="11" min="11" style="0" width="11"/>
    <col collapsed="false" customWidth="true" hidden="false" outlineLevel="0" max="13" min="12" style="0" width="30"/>
    <col collapsed="false" customWidth="true" hidden="true" outlineLevel="0" max="15" min="14" style="0" width="4"/>
  </cols>
  <sheetData>
    <row r="1" customFormat="false" ht="19.7" hidden="false" customHeight="false" outlineLevel="0" collapsed="false">
      <c r="A1" s="33" t="str">
        <f>'Start here'!$B$1&amp;" – QUOTES"</f>
        <v>[COMPANY NAME] – QUOTES</v>
      </c>
    </row>
    <row r="2" customFormat="false" ht="15" hidden="false" customHeight="false" outlineLevel="0" collapsed="false">
      <c r="A2" s="16" t="s">
        <v>172</v>
      </c>
    </row>
    <row r="3" customFormat="false" ht="15" hidden="false" customHeight="true" outlineLevel="0" collapsed="false">
      <c r="A3" s="34" t="s">
        <v>173</v>
      </c>
      <c r="B3" s="34"/>
      <c r="C3" s="34"/>
      <c r="D3" s="34"/>
      <c r="E3" s="34"/>
      <c r="F3" s="34" t="s">
        <v>174</v>
      </c>
      <c r="G3" s="34"/>
      <c r="H3" s="34"/>
      <c r="I3" s="34"/>
      <c r="J3" s="34"/>
      <c r="K3" s="34" t="s">
        <v>175</v>
      </c>
      <c r="L3" s="34"/>
      <c r="M3" s="34"/>
    </row>
    <row r="4" customFormat="false" ht="42" hidden="false" customHeight="true" outlineLevel="0" collapsed="false">
      <c r="A4" s="20" t="s">
        <v>87</v>
      </c>
      <c r="B4" s="20" t="s">
        <v>88</v>
      </c>
      <c r="C4" s="20" t="s">
        <v>176</v>
      </c>
      <c r="D4" s="20" t="s">
        <v>85</v>
      </c>
      <c r="E4" s="20" t="s">
        <v>89</v>
      </c>
      <c r="F4" s="35" t="s">
        <v>177</v>
      </c>
      <c r="G4" s="20" t="s">
        <v>178</v>
      </c>
      <c r="H4" s="20" t="s">
        <v>179</v>
      </c>
      <c r="I4" s="20" t="s">
        <v>81</v>
      </c>
      <c r="J4" s="20" t="s">
        <v>180</v>
      </c>
      <c r="K4" s="20" t="s">
        <v>181</v>
      </c>
      <c r="L4" s="35" t="s">
        <v>82</v>
      </c>
      <c r="M4" s="20" t="s">
        <v>119</v>
      </c>
      <c r="N4" s="35" t="s">
        <v>182</v>
      </c>
      <c r="O4" s="35" t="s">
        <v>120</v>
      </c>
    </row>
    <row r="5" customFormat="false" ht="79.5" hidden="false" customHeight="true" outlineLevel="0" collapsed="false">
      <c r="A5" s="36" t="s">
        <v>183</v>
      </c>
      <c r="B5" s="36" t="s">
        <v>184</v>
      </c>
      <c r="C5" s="36" t="s">
        <v>185</v>
      </c>
      <c r="D5" s="36" t="s">
        <v>123</v>
      </c>
      <c r="E5" s="36" t="s">
        <v>186</v>
      </c>
      <c r="F5" s="37" t="s">
        <v>187</v>
      </c>
      <c r="G5" s="36" t="s">
        <v>188</v>
      </c>
      <c r="H5" s="36" t="s">
        <v>189</v>
      </c>
      <c r="I5" s="36" t="s">
        <v>190</v>
      </c>
      <c r="J5" s="36" t="s">
        <v>191</v>
      </c>
      <c r="K5" s="36" t="s">
        <v>192</v>
      </c>
      <c r="L5" s="37" t="s">
        <v>193</v>
      </c>
      <c r="M5" s="36" t="s">
        <v>194</v>
      </c>
      <c r="N5" s="37"/>
      <c r="O5" s="37"/>
    </row>
    <row r="6" customFormat="false" ht="27.75" hidden="false" customHeight="true" outlineLevel="0" collapsed="false">
      <c r="A6" s="38"/>
      <c r="B6" s="38"/>
      <c r="C6" s="41"/>
      <c r="D6" s="39"/>
      <c r="E6" s="44"/>
      <c r="F6" s="47" t="str">
        <f aca="true">IF(D6="","",IF(OR(I6="",I6="Sent"),TODAY()-D6,""))</f>
        <v/>
      </c>
      <c r="G6" s="39"/>
      <c r="H6" s="39"/>
      <c r="I6" s="41"/>
      <c r="J6" s="39"/>
      <c r="K6" s="44"/>
      <c r="L6" s="42" t="str">
        <f aca="true">IF(D6="","",IF(AND(OR(I6="Won",I6="Lost"),J6=""),"Add the decision date",IF(I6="Won","Won – book the work in",IF(NOT(OR(I6="",I6="Sent")),"Closed – note why in Notes",IF(G6="",IF(F6&gt;=Lists!$N$6,"Chase now (1st chase)","Wait – 1st chase on "&amp;TEXT(D6+Lists!$N$6,"dd/mm/yyyy")),IF(H6="",IF(TODAY()-G6&gt;=Lists!$N$6,"Chase again (2nd chase)","Wait – 2nd chase on "&amp;TEXT(G6+Lists!$N$6,"dd/mm/yyyy")),"Call them, then mark Won, Lost or Expired"))))))</f>
        <v/>
      </c>
      <c r="M6" s="38"/>
      <c r="N6" s="42" t="n">
        <f aca="false">IF(I6="Won",IF(K6&lt;&gt;"",K6,N(E6)),0)</f>
        <v>0</v>
      </c>
      <c r="O6" s="42" t="str">
        <f aca="false">IF(ISNUMBER(F6),IF(F6&gt;Lists!$N$6,D6+ROW()/100000,""),"")</f>
        <v/>
      </c>
    </row>
    <row r="7" customFormat="false" ht="27.75" hidden="false" customHeight="true" outlineLevel="0" collapsed="false">
      <c r="A7" s="38"/>
      <c r="B7" s="38"/>
      <c r="C7" s="41"/>
      <c r="D7" s="39"/>
      <c r="E7" s="44"/>
      <c r="F7" s="47" t="str">
        <f aca="true">IF(D7="","",IF(OR(I7="",I7="Sent"),TODAY()-D7,""))</f>
        <v/>
      </c>
      <c r="G7" s="39"/>
      <c r="H7" s="39"/>
      <c r="I7" s="41"/>
      <c r="J7" s="39"/>
      <c r="K7" s="44"/>
      <c r="L7" s="42" t="str">
        <f aca="true">IF(D7="","",IF(AND(OR(I7="Won",I7="Lost"),J7=""),"Add the decision date",IF(I7="Won","Won – book the work in",IF(NOT(OR(I7="",I7="Sent")),"Closed – note why in Notes",IF(G7="",IF(F7&gt;=Lists!$N$6,"Chase now (1st chase)","Wait – 1st chase on "&amp;TEXT(D7+Lists!$N$6,"dd/mm/yyyy")),IF(H7="",IF(TODAY()-G7&gt;=Lists!$N$6,"Chase again (2nd chase)","Wait – 2nd chase on "&amp;TEXT(G7+Lists!$N$6,"dd/mm/yyyy")),"Call them, then mark Won, Lost or Expired"))))))</f>
        <v/>
      </c>
      <c r="M7" s="38"/>
      <c r="N7" s="42" t="n">
        <f aca="false">IF(I7="Won",IF(K7&lt;&gt;"",K7,N(E7)),0)</f>
        <v>0</v>
      </c>
      <c r="O7" s="42" t="str">
        <f aca="false">IF(ISNUMBER(F7),IF(F7&gt;Lists!$N$6,D7+ROW()/100000,""),"")</f>
        <v/>
      </c>
    </row>
    <row r="8" customFormat="false" ht="27.75" hidden="false" customHeight="true" outlineLevel="0" collapsed="false">
      <c r="A8" s="38"/>
      <c r="B8" s="38"/>
      <c r="C8" s="41"/>
      <c r="D8" s="39"/>
      <c r="E8" s="44"/>
      <c r="F8" s="47" t="str">
        <f aca="true">IF(D8="","",IF(OR(I8="",I8="Sent"),TODAY()-D8,""))</f>
        <v/>
      </c>
      <c r="G8" s="39"/>
      <c r="H8" s="39"/>
      <c r="I8" s="41"/>
      <c r="J8" s="39"/>
      <c r="K8" s="44"/>
      <c r="L8" s="42" t="str">
        <f aca="true">IF(D8="","",IF(AND(OR(I8="Won",I8="Lost"),J8=""),"Add the decision date",IF(I8="Won","Won – book the work in",IF(NOT(OR(I8="",I8="Sent")),"Closed – note why in Notes",IF(G8="",IF(F8&gt;=Lists!$N$6,"Chase now (1st chase)","Wait – 1st chase on "&amp;TEXT(D8+Lists!$N$6,"dd/mm/yyyy")),IF(H8="",IF(TODAY()-G8&gt;=Lists!$N$6,"Chase again (2nd chase)","Wait – 2nd chase on "&amp;TEXT(G8+Lists!$N$6,"dd/mm/yyyy")),"Call them, then mark Won, Lost or Expired"))))))</f>
        <v/>
      </c>
      <c r="M8" s="38"/>
      <c r="N8" s="42" t="n">
        <f aca="false">IF(I8="Won",IF(K8&lt;&gt;"",K8,N(E8)),0)</f>
        <v>0</v>
      </c>
      <c r="O8" s="42" t="str">
        <f aca="false">IF(ISNUMBER(F8),IF(F8&gt;Lists!$N$6,D8+ROW()/100000,""),"")</f>
        <v/>
      </c>
    </row>
    <row r="9" customFormat="false" ht="27.75" hidden="false" customHeight="true" outlineLevel="0" collapsed="false">
      <c r="A9" s="38"/>
      <c r="B9" s="38"/>
      <c r="C9" s="41"/>
      <c r="D9" s="39"/>
      <c r="E9" s="44"/>
      <c r="F9" s="47" t="str">
        <f aca="true">IF(D9="","",IF(OR(I9="",I9="Sent"),TODAY()-D9,""))</f>
        <v/>
      </c>
      <c r="G9" s="39"/>
      <c r="H9" s="39"/>
      <c r="I9" s="41"/>
      <c r="J9" s="39"/>
      <c r="K9" s="44"/>
      <c r="L9" s="42" t="str">
        <f aca="true">IF(D9="","",IF(AND(OR(I9="Won",I9="Lost"),J9=""),"Add the decision date",IF(I9="Won","Won – book the work in",IF(NOT(OR(I9="",I9="Sent")),"Closed – note why in Notes",IF(G9="",IF(F9&gt;=Lists!$N$6,"Chase now (1st chase)","Wait – 1st chase on "&amp;TEXT(D9+Lists!$N$6,"dd/mm/yyyy")),IF(H9="",IF(TODAY()-G9&gt;=Lists!$N$6,"Chase again (2nd chase)","Wait – 2nd chase on "&amp;TEXT(G9+Lists!$N$6,"dd/mm/yyyy")),"Call them, then mark Won, Lost or Expired"))))))</f>
        <v/>
      </c>
      <c r="M9" s="38"/>
      <c r="N9" s="42" t="n">
        <f aca="false">IF(I9="Won",IF(K9&lt;&gt;"",K9,N(E9)),0)</f>
        <v>0</v>
      </c>
      <c r="O9" s="42" t="str">
        <f aca="false">IF(ISNUMBER(F9),IF(F9&gt;Lists!$N$6,D9+ROW()/100000,""),"")</f>
        <v/>
      </c>
    </row>
    <row r="10" customFormat="false" ht="27.75" hidden="false" customHeight="true" outlineLevel="0" collapsed="false">
      <c r="A10" s="38"/>
      <c r="B10" s="38"/>
      <c r="C10" s="41"/>
      <c r="D10" s="39"/>
      <c r="E10" s="44"/>
      <c r="F10" s="47" t="str">
        <f aca="true">IF(D10="","",IF(OR(I10="",I10="Sent"),TODAY()-D10,""))</f>
        <v/>
      </c>
      <c r="G10" s="39"/>
      <c r="H10" s="39"/>
      <c r="I10" s="41"/>
      <c r="J10" s="39"/>
      <c r="K10" s="44"/>
      <c r="L10" s="42" t="str">
        <f aca="true">IF(D10="","",IF(AND(OR(I10="Won",I10="Lost"),J10=""),"Add the decision date",IF(I10="Won","Won – book the work in",IF(NOT(OR(I10="",I10="Sent")),"Closed – note why in Notes",IF(G10="",IF(F10&gt;=Lists!$N$6,"Chase now (1st chase)","Wait – 1st chase on "&amp;TEXT(D10+Lists!$N$6,"dd/mm/yyyy")),IF(H10="",IF(TODAY()-G10&gt;=Lists!$N$6,"Chase again (2nd chase)","Wait – 2nd chase on "&amp;TEXT(G10+Lists!$N$6,"dd/mm/yyyy")),"Call them, then mark Won, Lost or Expired"))))))</f>
        <v/>
      </c>
      <c r="M10" s="38"/>
      <c r="N10" s="42" t="n">
        <f aca="false">IF(I10="Won",IF(K10&lt;&gt;"",K10,N(E10)),0)</f>
        <v>0</v>
      </c>
      <c r="O10" s="42" t="str">
        <f aca="false">IF(ISNUMBER(F10),IF(F10&gt;Lists!$N$6,D10+ROW()/100000,""),"")</f>
        <v/>
      </c>
    </row>
    <row r="11" customFormat="false" ht="27.75" hidden="false" customHeight="true" outlineLevel="0" collapsed="false">
      <c r="A11" s="38"/>
      <c r="B11" s="38"/>
      <c r="C11" s="41"/>
      <c r="D11" s="39"/>
      <c r="E11" s="44"/>
      <c r="F11" s="47" t="str">
        <f aca="true">IF(D11="","",IF(OR(I11="",I11="Sent"),TODAY()-D11,""))</f>
        <v/>
      </c>
      <c r="G11" s="39"/>
      <c r="H11" s="39"/>
      <c r="I11" s="41"/>
      <c r="J11" s="39"/>
      <c r="K11" s="44"/>
      <c r="L11" s="42" t="str">
        <f aca="true">IF(D11="","",IF(AND(OR(I11="Won",I11="Lost"),J11=""),"Add the decision date",IF(I11="Won","Won – book the work in",IF(NOT(OR(I11="",I11="Sent")),"Closed – note why in Notes",IF(G11="",IF(F11&gt;=Lists!$N$6,"Chase now (1st chase)","Wait – 1st chase on "&amp;TEXT(D11+Lists!$N$6,"dd/mm/yyyy")),IF(H11="",IF(TODAY()-G11&gt;=Lists!$N$6,"Chase again (2nd chase)","Wait – 2nd chase on "&amp;TEXT(G11+Lists!$N$6,"dd/mm/yyyy")),"Call them, then mark Won, Lost or Expired"))))))</f>
        <v/>
      </c>
      <c r="M11" s="38"/>
      <c r="N11" s="42" t="n">
        <f aca="false">IF(I11="Won",IF(K11&lt;&gt;"",K11,N(E11)),0)</f>
        <v>0</v>
      </c>
      <c r="O11" s="42" t="str">
        <f aca="false">IF(ISNUMBER(F11),IF(F11&gt;Lists!$N$6,D11+ROW()/100000,""),"")</f>
        <v/>
      </c>
    </row>
    <row r="12" customFormat="false" ht="27.75" hidden="false" customHeight="true" outlineLevel="0" collapsed="false">
      <c r="A12" s="38"/>
      <c r="B12" s="38"/>
      <c r="C12" s="41"/>
      <c r="D12" s="39"/>
      <c r="E12" s="44"/>
      <c r="F12" s="47" t="str">
        <f aca="true">IF(D12="","",IF(OR(I12="",I12="Sent"),TODAY()-D12,""))</f>
        <v/>
      </c>
      <c r="G12" s="39"/>
      <c r="H12" s="39"/>
      <c r="I12" s="41"/>
      <c r="J12" s="39"/>
      <c r="K12" s="44"/>
      <c r="L12" s="42" t="str">
        <f aca="true">IF(D12="","",IF(AND(OR(I12="Won",I12="Lost"),J12=""),"Add the decision date",IF(I12="Won","Won – book the work in",IF(NOT(OR(I12="",I12="Sent")),"Closed – note why in Notes",IF(G12="",IF(F12&gt;=Lists!$N$6,"Chase now (1st chase)","Wait – 1st chase on "&amp;TEXT(D12+Lists!$N$6,"dd/mm/yyyy")),IF(H12="",IF(TODAY()-G12&gt;=Lists!$N$6,"Chase again (2nd chase)","Wait – 2nd chase on "&amp;TEXT(G12+Lists!$N$6,"dd/mm/yyyy")),"Call them, then mark Won, Lost or Expired"))))))</f>
        <v/>
      </c>
      <c r="M12" s="38"/>
      <c r="N12" s="42" t="n">
        <f aca="false">IF(I12="Won",IF(K12&lt;&gt;"",K12,N(E12)),0)</f>
        <v>0</v>
      </c>
      <c r="O12" s="42" t="str">
        <f aca="false">IF(ISNUMBER(F12),IF(F12&gt;Lists!$N$6,D12+ROW()/100000,""),"")</f>
        <v/>
      </c>
    </row>
    <row r="13" customFormat="false" ht="27.75" hidden="false" customHeight="true" outlineLevel="0" collapsed="false">
      <c r="A13" s="38"/>
      <c r="B13" s="38"/>
      <c r="C13" s="41"/>
      <c r="D13" s="39"/>
      <c r="E13" s="44"/>
      <c r="F13" s="47" t="str">
        <f aca="true">IF(D13="","",IF(OR(I13="",I13="Sent"),TODAY()-D13,""))</f>
        <v/>
      </c>
      <c r="G13" s="39"/>
      <c r="H13" s="39"/>
      <c r="I13" s="41"/>
      <c r="J13" s="39"/>
      <c r="K13" s="44"/>
      <c r="L13" s="42" t="str">
        <f aca="true">IF(D13="","",IF(AND(OR(I13="Won",I13="Lost"),J13=""),"Add the decision date",IF(I13="Won","Won – book the work in",IF(NOT(OR(I13="",I13="Sent")),"Closed – note why in Notes",IF(G13="",IF(F13&gt;=Lists!$N$6,"Chase now (1st chase)","Wait – 1st chase on "&amp;TEXT(D13+Lists!$N$6,"dd/mm/yyyy")),IF(H13="",IF(TODAY()-G13&gt;=Lists!$N$6,"Chase again (2nd chase)","Wait – 2nd chase on "&amp;TEXT(G13+Lists!$N$6,"dd/mm/yyyy")),"Call them, then mark Won, Lost or Expired"))))))</f>
        <v/>
      </c>
      <c r="M13" s="38"/>
      <c r="N13" s="42" t="n">
        <f aca="false">IF(I13="Won",IF(K13&lt;&gt;"",K13,N(E13)),0)</f>
        <v>0</v>
      </c>
      <c r="O13" s="42" t="str">
        <f aca="false">IF(ISNUMBER(F13),IF(F13&gt;Lists!$N$6,D13+ROW()/100000,""),"")</f>
        <v/>
      </c>
    </row>
    <row r="14" customFormat="false" ht="27.75" hidden="false" customHeight="true" outlineLevel="0" collapsed="false">
      <c r="A14" s="38"/>
      <c r="B14" s="38"/>
      <c r="C14" s="41"/>
      <c r="D14" s="39"/>
      <c r="E14" s="44"/>
      <c r="F14" s="47" t="str">
        <f aca="true">IF(D14="","",IF(OR(I14="",I14="Sent"),TODAY()-D14,""))</f>
        <v/>
      </c>
      <c r="G14" s="39"/>
      <c r="H14" s="39"/>
      <c r="I14" s="41"/>
      <c r="J14" s="39"/>
      <c r="K14" s="44"/>
      <c r="L14" s="42" t="str">
        <f aca="true">IF(D14="","",IF(AND(OR(I14="Won",I14="Lost"),J14=""),"Add the decision date",IF(I14="Won","Won – book the work in",IF(NOT(OR(I14="",I14="Sent")),"Closed – note why in Notes",IF(G14="",IF(F14&gt;=Lists!$N$6,"Chase now (1st chase)","Wait – 1st chase on "&amp;TEXT(D14+Lists!$N$6,"dd/mm/yyyy")),IF(H14="",IF(TODAY()-G14&gt;=Lists!$N$6,"Chase again (2nd chase)","Wait – 2nd chase on "&amp;TEXT(G14+Lists!$N$6,"dd/mm/yyyy")),"Call them, then mark Won, Lost or Expired"))))))</f>
        <v/>
      </c>
      <c r="M14" s="38"/>
      <c r="N14" s="42" t="n">
        <f aca="false">IF(I14="Won",IF(K14&lt;&gt;"",K14,N(E14)),0)</f>
        <v>0</v>
      </c>
      <c r="O14" s="42" t="str">
        <f aca="false">IF(ISNUMBER(F14),IF(F14&gt;Lists!$N$6,D14+ROW()/100000,""),"")</f>
        <v/>
      </c>
    </row>
    <row r="15" customFormat="false" ht="27.75" hidden="false" customHeight="true" outlineLevel="0" collapsed="false">
      <c r="A15" s="38"/>
      <c r="B15" s="38"/>
      <c r="C15" s="41"/>
      <c r="D15" s="39"/>
      <c r="E15" s="44"/>
      <c r="F15" s="47" t="str">
        <f aca="true">IF(D15="","",IF(OR(I15="",I15="Sent"),TODAY()-D15,""))</f>
        <v/>
      </c>
      <c r="G15" s="39"/>
      <c r="H15" s="39"/>
      <c r="I15" s="41"/>
      <c r="J15" s="39"/>
      <c r="K15" s="44"/>
      <c r="L15" s="42" t="str">
        <f aca="true">IF(D15="","",IF(AND(OR(I15="Won",I15="Lost"),J15=""),"Add the decision date",IF(I15="Won","Won – book the work in",IF(NOT(OR(I15="",I15="Sent")),"Closed – note why in Notes",IF(G15="",IF(F15&gt;=Lists!$N$6,"Chase now (1st chase)","Wait – 1st chase on "&amp;TEXT(D15+Lists!$N$6,"dd/mm/yyyy")),IF(H15="",IF(TODAY()-G15&gt;=Lists!$N$6,"Chase again (2nd chase)","Wait – 2nd chase on "&amp;TEXT(G15+Lists!$N$6,"dd/mm/yyyy")),"Call them, then mark Won, Lost or Expired"))))))</f>
        <v/>
      </c>
      <c r="M15" s="38"/>
      <c r="N15" s="42" t="n">
        <f aca="false">IF(I15="Won",IF(K15&lt;&gt;"",K15,N(E15)),0)</f>
        <v>0</v>
      </c>
      <c r="O15" s="42" t="str">
        <f aca="false">IF(ISNUMBER(F15),IF(F15&gt;Lists!$N$6,D15+ROW()/100000,""),"")</f>
        <v/>
      </c>
    </row>
    <row r="16" customFormat="false" ht="27.75" hidden="false" customHeight="true" outlineLevel="0" collapsed="false">
      <c r="A16" s="38"/>
      <c r="B16" s="38"/>
      <c r="C16" s="41"/>
      <c r="D16" s="39"/>
      <c r="E16" s="44"/>
      <c r="F16" s="47" t="str">
        <f aca="true">IF(D16="","",IF(OR(I16="",I16="Sent"),TODAY()-D16,""))</f>
        <v/>
      </c>
      <c r="G16" s="39"/>
      <c r="H16" s="39"/>
      <c r="I16" s="41"/>
      <c r="J16" s="39"/>
      <c r="K16" s="44"/>
      <c r="L16" s="42" t="str">
        <f aca="true">IF(D16="","",IF(AND(OR(I16="Won",I16="Lost"),J16=""),"Add the decision date",IF(I16="Won","Won – book the work in",IF(NOT(OR(I16="",I16="Sent")),"Closed – note why in Notes",IF(G16="",IF(F16&gt;=Lists!$N$6,"Chase now (1st chase)","Wait – 1st chase on "&amp;TEXT(D16+Lists!$N$6,"dd/mm/yyyy")),IF(H16="",IF(TODAY()-G16&gt;=Lists!$N$6,"Chase again (2nd chase)","Wait – 2nd chase on "&amp;TEXT(G16+Lists!$N$6,"dd/mm/yyyy")),"Call them, then mark Won, Lost or Expired"))))))</f>
        <v/>
      </c>
      <c r="M16" s="38"/>
      <c r="N16" s="42" t="n">
        <f aca="false">IF(I16="Won",IF(K16&lt;&gt;"",K16,N(E16)),0)</f>
        <v>0</v>
      </c>
      <c r="O16" s="42" t="str">
        <f aca="false">IF(ISNUMBER(F16),IF(F16&gt;Lists!$N$6,D16+ROW()/100000,""),"")</f>
        <v/>
      </c>
    </row>
    <row r="17" customFormat="false" ht="27.75" hidden="false" customHeight="true" outlineLevel="0" collapsed="false">
      <c r="A17" s="38"/>
      <c r="B17" s="38"/>
      <c r="C17" s="41"/>
      <c r="D17" s="39"/>
      <c r="E17" s="44"/>
      <c r="F17" s="47" t="str">
        <f aca="true">IF(D17="","",IF(OR(I17="",I17="Sent"),TODAY()-D17,""))</f>
        <v/>
      </c>
      <c r="G17" s="39"/>
      <c r="H17" s="39"/>
      <c r="I17" s="41"/>
      <c r="J17" s="39"/>
      <c r="K17" s="44"/>
      <c r="L17" s="42" t="str">
        <f aca="true">IF(D17="","",IF(AND(OR(I17="Won",I17="Lost"),J17=""),"Add the decision date",IF(I17="Won","Won – book the work in",IF(NOT(OR(I17="",I17="Sent")),"Closed – note why in Notes",IF(G17="",IF(F17&gt;=Lists!$N$6,"Chase now (1st chase)","Wait – 1st chase on "&amp;TEXT(D17+Lists!$N$6,"dd/mm/yyyy")),IF(H17="",IF(TODAY()-G17&gt;=Lists!$N$6,"Chase again (2nd chase)","Wait – 2nd chase on "&amp;TEXT(G17+Lists!$N$6,"dd/mm/yyyy")),"Call them, then mark Won, Lost or Expired"))))))</f>
        <v/>
      </c>
      <c r="M17" s="38"/>
      <c r="N17" s="42" t="n">
        <f aca="false">IF(I17="Won",IF(K17&lt;&gt;"",K17,N(E17)),0)</f>
        <v>0</v>
      </c>
      <c r="O17" s="42" t="str">
        <f aca="false">IF(ISNUMBER(F17),IF(F17&gt;Lists!$N$6,D17+ROW()/100000,""),"")</f>
        <v/>
      </c>
    </row>
    <row r="18" customFormat="false" ht="27.75" hidden="false" customHeight="true" outlineLevel="0" collapsed="false">
      <c r="A18" s="38"/>
      <c r="B18" s="38"/>
      <c r="C18" s="41"/>
      <c r="D18" s="39"/>
      <c r="E18" s="44"/>
      <c r="F18" s="47" t="str">
        <f aca="true">IF(D18="","",IF(OR(I18="",I18="Sent"),TODAY()-D18,""))</f>
        <v/>
      </c>
      <c r="G18" s="39"/>
      <c r="H18" s="39"/>
      <c r="I18" s="41"/>
      <c r="J18" s="39"/>
      <c r="K18" s="44"/>
      <c r="L18" s="42" t="str">
        <f aca="true">IF(D18="","",IF(AND(OR(I18="Won",I18="Lost"),J18=""),"Add the decision date",IF(I18="Won","Won – book the work in",IF(NOT(OR(I18="",I18="Sent")),"Closed – note why in Notes",IF(G18="",IF(F18&gt;=Lists!$N$6,"Chase now (1st chase)","Wait – 1st chase on "&amp;TEXT(D18+Lists!$N$6,"dd/mm/yyyy")),IF(H18="",IF(TODAY()-G18&gt;=Lists!$N$6,"Chase again (2nd chase)","Wait – 2nd chase on "&amp;TEXT(G18+Lists!$N$6,"dd/mm/yyyy")),"Call them, then mark Won, Lost or Expired"))))))</f>
        <v/>
      </c>
      <c r="M18" s="38"/>
      <c r="N18" s="42" t="n">
        <f aca="false">IF(I18="Won",IF(K18&lt;&gt;"",K18,N(E18)),0)</f>
        <v>0</v>
      </c>
      <c r="O18" s="42" t="str">
        <f aca="false">IF(ISNUMBER(F18),IF(F18&gt;Lists!$N$6,D18+ROW()/100000,""),"")</f>
        <v/>
      </c>
    </row>
    <row r="19" customFormat="false" ht="27.75" hidden="false" customHeight="true" outlineLevel="0" collapsed="false">
      <c r="A19" s="38"/>
      <c r="B19" s="38"/>
      <c r="C19" s="41"/>
      <c r="D19" s="39"/>
      <c r="E19" s="44"/>
      <c r="F19" s="47" t="str">
        <f aca="true">IF(D19="","",IF(OR(I19="",I19="Sent"),TODAY()-D19,""))</f>
        <v/>
      </c>
      <c r="G19" s="39"/>
      <c r="H19" s="39"/>
      <c r="I19" s="41"/>
      <c r="J19" s="39"/>
      <c r="K19" s="44"/>
      <c r="L19" s="42" t="str">
        <f aca="true">IF(D19="","",IF(AND(OR(I19="Won",I19="Lost"),J19=""),"Add the decision date",IF(I19="Won","Won – book the work in",IF(NOT(OR(I19="",I19="Sent")),"Closed – note why in Notes",IF(G19="",IF(F19&gt;=Lists!$N$6,"Chase now (1st chase)","Wait – 1st chase on "&amp;TEXT(D19+Lists!$N$6,"dd/mm/yyyy")),IF(H19="",IF(TODAY()-G19&gt;=Lists!$N$6,"Chase again (2nd chase)","Wait – 2nd chase on "&amp;TEXT(G19+Lists!$N$6,"dd/mm/yyyy")),"Call them, then mark Won, Lost or Expired"))))))</f>
        <v/>
      </c>
      <c r="M19" s="38"/>
      <c r="N19" s="42" t="n">
        <f aca="false">IF(I19="Won",IF(K19&lt;&gt;"",K19,N(E19)),0)</f>
        <v>0</v>
      </c>
      <c r="O19" s="42" t="str">
        <f aca="false">IF(ISNUMBER(F19),IF(F19&gt;Lists!$N$6,D19+ROW()/100000,""),"")</f>
        <v/>
      </c>
    </row>
    <row r="20" customFormat="false" ht="27.75" hidden="false" customHeight="true" outlineLevel="0" collapsed="false">
      <c r="A20" s="38"/>
      <c r="B20" s="38"/>
      <c r="C20" s="41"/>
      <c r="D20" s="39"/>
      <c r="E20" s="44"/>
      <c r="F20" s="47" t="str">
        <f aca="true">IF(D20="","",IF(OR(I20="",I20="Sent"),TODAY()-D20,""))</f>
        <v/>
      </c>
      <c r="G20" s="39"/>
      <c r="H20" s="39"/>
      <c r="I20" s="41"/>
      <c r="J20" s="39"/>
      <c r="K20" s="44"/>
      <c r="L20" s="42" t="str">
        <f aca="true">IF(D20="","",IF(AND(OR(I20="Won",I20="Lost"),J20=""),"Add the decision date",IF(I20="Won","Won – book the work in",IF(NOT(OR(I20="",I20="Sent")),"Closed – note why in Notes",IF(G20="",IF(F20&gt;=Lists!$N$6,"Chase now (1st chase)","Wait – 1st chase on "&amp;TEXT(D20+Lists!$N$6,"dd/mm/yyyy")),IF(H20="",IF(TODAY()-G20&gt;=Lists!$N$6,"Chase again (2nd chase)","Wait – 2nd chase on "&amp;TEXT(G20+Lists!$N$6,"dd/mm/yyyy")),"Call them, then mark Won, Lost or Expired"))))))</f>
        <v/>
      </c>
      <c r="M20" s="38"/>
      <c r="N20" s="42" t="n">
        <f aca="false">IF(I20="Won",IF(K20&lt;&gt;"",K20,N(E20)),0)</f>
        <v>0</v>
      </c>
      <c r="O20" s="42" t="str">
        <f aca="false">IF(ISNUMBER(F20),IF(F20&gt;Lists!$N$6,D20+ROW()/100000,""),"")</f>
        <v/>
      </c>
    </row>
    <row r="21" customFormat="false" ht="27.75" hidden="false" customHeight="true" outlineLevel="0" collapsed="false">
      <c r="A21" s="38"/>
      <c r="B21" s="38"/>
      <c r="C21" s="41"/>
      <c r="D21" s="39"/>
      <c r="E21" s="44"/>
      <c r="F21" s="47" t="str">
        <f aca="true">IF(D21="","",IF(OR(I21="",I21="Sent"),TODAY()-D21,""))</f>
        <v/>
      </c>
      <c r="G21" s="39"/>
      <c r="H21" s="39"/>
      <c r="I21" s="41"/>
      <c r="J21" s="39"/>
      <c r="K21" s="44"/>
      <c r="L21" s="42" t="str">
        <f aca="true">IF(D21="","",IF(AND(OR(I21="Won",I21="Lost"),J21=""),"Add the decision date",IF(I21="Won","Won – book the work in",IF(NOT(OR(I21="",I21="Sent")),"Closed – note why in Notes",IF(G21="",IF(F21&gt;=Lists!$N$6,"Chase now (1st chase)","Wait – 1st chase on "&amp;TEXT(D21+Lists!$N$6,"dd/mm/yyyy")),IF(H21="",IF(TODAY()-G21&gt;=Lists!$N$6,"Chase again (2nd chase)","Wait – 2nd chase on "&amp;TEXT(G21+Lists!$N$6,"dd/mm/yyyy")),"Call them, then mark Won, Lost or Expired"))))))</f>
        <v/>
      </c>
      <c r="M21" s="38"/>
      <c r="N21" s="42" t="n">
        <f aca="false">IF(I21="Won",IF(K21&lt;&gt;"",K21,N(E21)),0)</f>
        <v>0</v>
      </c>
      <c r="O21" s="42" t="str">
        <f aca="false">IF(ISNUMBER(F21),IF(F21&gt;Lists!$N$6,D21+ROW()/100000,""),"")</f>
        <v/>
      </c>
    </row>
    <row r="22" customFormat="false" ht="27.75" hidden="false" customHeight="true" outlineLevel="0" collapsed="false">
      <c r="A22" s="38"/>
      <c r="B22" s="38"/>
      <c r="C22" s="41"/>
      <c r="D22" s="39"/>
      <c r="E22" s="44"/>
      <c r="F22" s="47" t="str">
        <f aca="true">IF(D22="","",IF(OR(I22="",I22="Sent"),TODAY()-D22,""))</f>
        <v/>
      </c>
      <c r="G22" s="39"/>
      <c r="H22" s="39"/>
      <c r="I22" s="41"/>
      <c r="J22" s="39"/>
      <c r="K22" s="44"/>
      <c r="L22" s="42" t="str">
        <f aca="true">IF(D22="","",IF(AND(OR(I22="Won",I22="Lost"),J22=""),"Add the decision date",IF(I22="Won","Won – book the work in",IF(NOT(OR(I22="",I22="Sent")),"Closed – note why in Notes",IF(G22="",IF(F22&gt;=Lists!$N$6,"Chase now (1st chase)","Wait – 1st chase on "&amp;TEXT(D22+Lists!$N$6,"dd/mm/yyyy")),IF(H22="",IF(TODAY()-G22&gt;=Lists!$N$6,"Chase again (2nd chase)","Wait – 2nd chase on "&amp;TEXT(G22+Lists!$N$6,"dd/mm/yyyy")),"Call them, then mark Won, Lost or Expired"))))))</f>
        <v/>
      </c>
      <c r="M22" s="38"/>
      <c r="N22" s="42" t="n">
        <f aca="false">IF(I22="Won",IF(K22&lt;&gt;"",K22,N(E22)),0)</f>
        <v>0</v>
      </c>
      <c r="O22" s="42" t="str">
        <f aca="false">IF(ISNUMBER(F22),IF(F22&gt;Lists!$N$6,D22+ROW()/100000,""),"")</f>
        <v/>
      </c>
    </row>
    <row r="23" customFormat="false" ht="27.75" hidden="false" customHeight="true" outlineLevel="0" collapsed="false">
      <c r="A23" s="38"/>
      <c r="B23" s="38"/>
      <c r="C23" s="41"/>
      <c r="D23" s="39"/>
      <c r="E23" s="44"/>
      <c r="F23" s="47" t="str">
        <f aca="true">IF(D23="","",IF(OR(I23="",I23="Sent"),TODAY()-D23,""))</f>
        <v/>
      </c>
      <c r="G23" s="39"/>
      <c r="H23" s="39"/>
      <c r="I23" s="41"/>
      <c r="J23" s="39"/>
      <c r="K23" s="44"/>
      <c r="L23" s="42" t="str">
        <f aca="true">IF(D23="","",IF(AND(OR(I23="Won",I23="Lost"),J23=""),"Add the decision date",IF(I23="Won","Won – book the work in",IF(NOT(OR(I23="",I23="Sent")),"Closed – note why in Notes",IF(G23="",IF(F23&gt;=Lists!$N$6,"Chase now (1st chase)","Wait – 1st chase on "&amp;TEXT(D23+Lists!$N$6,"dd/mm/yyyy")),IF(H23="",IF(TODAY()-G23&gt;=Lists!$N$6,"Chase again (2nd chase)","Wait – 2nd chase on "&amp;TEXT(G23+Lists!$N$6,"dd/mm/yyyy")),"Call them, then mark Won, Lost or Expired"))))))</f>
        <v/>
      </c>
      <c r="M23" s="38"/>
      <c r="N23" s="42" t="n">
        <f aca="false">IF(I23="Won",IF(K23&lt;&gt;"",K23,N(E23)),0)</f>
        <v>0</v>
      </c>
      <c r="O23" s="42" t="str">
        <f aca="false">IF(ISNUMBER(F23),IF(F23&gt;Lists!$N$6,D23+ROW()/100000,""),"")</f>
        <v/>
      </c>
    </row>
    <row r="24" customFormat="false" ht="27.75" hidden="false" customHeight="true" outlineLevel="0" collapsed="false">
      <c r="A24" s="38"/>
      <c r="B24" s="38"/>
      <c r="C24" s="41"/>
      <c r="D24" s="39"/>
      <c r="E24" s="44"/>
      <c r="F24" s="47" t="str">
        <f aca="true">IF(D24="","",IF(OR(I24="",I24="Sent"),TODAY()-D24,""))</f>
        <v/>
      </c>
      <c r="G24" s="39"/>
      <c r="H24" s="39"/>
      <c r="I24" s="41"/>
      <c r="J24" s="39"/>
      <c r="K24" s="44"/>
      <c r="L24" s="42" t="str">
        <f aca="true">IF(D24="","",IF(AND(OR(I24="Won",I24="Lost"),J24=""),"Add the decision date",IF(I24="Won","Won – book the work in",IF(NOT(OR(I24="",I24="Sent")),"Closed – note why in Notes",IF(G24="",IF(F24&gt;=Lists!$N$6,"Chase now (1st chase)","Wait – 1st chase on "&amp;TEXT(D24+Lists!$N$6,"dd/mm/yyyy")),IF(H24="",IF(TODAY()-G24&gt;=Lists!$N$6,"Chase again (2nd chase)","Wait – 2nd chase on "&amp;TEXT(G24+Lists!$N$6,"dd/mm/yyyy")),"Call them, then mark Won, Lost or Expired"))))))</f>
        <v/>
      </c>
      <c r="M24" s="38"/>
      <c r="N24" s="42" t="n">
        <f aca="false">IF(I24="Won",IF(K24&lt;&gt;"",K24,N(E24)),0)</f>
        <v>0</v>
      </c>
      <c r="O24" s="42" t="str">
        <f aca="false">IF(ISNUMBER(F24),IF(F24&gt;Lists!$N$6,D24+ROW()/100000,""),"")</f>
        <v/>
      </c>
    </row>
    <row r="25" customFormat="false" ht="27.75" hidden="false" customHeight="true" outlineLevel="0" collapsed="false">
      <c r="A25" s="38"/>
      <c r="B25" s="38"/>
      <c r="C25" s="41"/>
      <c r="D25" s="39"/>
      <c r="E25" s="44"/>
      <c r="F25" s="47" t="str">
        <f aca="true">IF(D25="","",IF(OR(I25="",I25="Sent"),TODAY()-D25,""))</f>
        <v/>
      </c>
      <c r="G25" s="39"/>
      <c r="H25" s="39"/>
      <c r="I25" s="41"/>
      <c r="J25" s="39"/>
      <c r="K25" s="44"/>
      <c r="L25" s="42" t="str">
        <f aca="true">IF(D25="","",IF(AND(OR(I25="Won",I25="Lost"),J25=""),"Add the decision date",IF(I25="Won","Won – book the work in",IF(NOT(OR(I25="",I25="Sent")),"Closed – note why in Notes",IF(G25="",IF(F25&gt;=Lists!$N$6,"Chase now (1st chase)","Wait – 1st chase on "&amp;TEXT(D25+Lists!$N$6,"dd/mm/yyyy")),IF(H25="",IF(TODAY()-G25&gt;=Lists!$N$6,"Chase again (2nd chase)","Wait – 2nd chase on "&amp;TEXT(G25+Lists!$N$6,"dd/mm/yyyy")),"Call them, then mark Won, Lost or Expired"))))))</f>
        <v/>
      </c>
      <c r="M25" s="38"/>
      <c r="N25" s="42" t="n">
        <f aca="false">IF(I25="Won",IF(K25&lt;&gt;"",K25,N(E25)),0)</f>
        <v>0</v>
      </c>
      <c r="O25" s="42" t="str">
        <f aca="false">IF(ISNUMBER(F25),IF(F25&gt;Lists!$N$6,D25+ROW()/100000,""),"")</f>
        <v/>
      </c>
    </row>
    <row r="26" customFormat="false" ht="27.75" hidden="false" customHeight="true" outlineLevel="0" collapsed="false">
      <c r="A26" s="38"/>
      <c r="B26" s="38"/>
      <c r="C26" s="41"/>
      <c r="D26" s="39"/>
      <c r="E26" s="44"/>
      <c r="F26" s="47" t="str">
        <f aca="true">IF(D26="","",IF(OR(I26="",I26="Sent"),TODAY()-D26,""))</f>
        <v/>
      </c>
      <c r="G26" s="39"/>
      <c r="H26" s="39"/>
      <c r="I26" s="41"/>
      <c r="J26" s="39"/>
      <c r="K26" s="44"/>
      <c r="L26" s="42" t="str">
        <f aca="true">IF(D26="","",IF(AND(OR(I26="Won",I26="Lost"),J26=""),"Add the decision date",IF(I26="Won","Won – book the work in",IF(NOT(OR(I26="",I26="Sent")),"Closed – note why in Notes",IF(G26="",IF(F26&gt;=Lists!$N$6,"Chase now (1st chase)","Wait – 1st chase on "&amp;TEXT(D26+Lists!$N$6,"dd/mm/yyyy")),IF(H26="",IF(TODAY()-G26&gt;=Lists!$N$6,"Chase again (2nd chase)","Wait – 2nd chase on "&amp;TEXT(G26+Lists!$N$6,"dd/mm/yyyy")),"Call them, then mark Won, Lost or Expired"))))))</f>
        <v/>
      </c>
      <c r="M26" s="38"/>
      <c r="N26" s="42" t="n">
        <f aca="false">IF(I26="Won",IF(K26&lt;&gt;"",K26,N(E26)),0)</f>
        <v>0</v>
      </c>
      <c r="O26" s="42" t="str">
        <f aca="false">IF(ISNUMBER(F26),IF(F26&gt;Lists!$N$6,D26+ROW()/100000,""),"")</f>
        <v/>
      </c>
    </row>
    <row r="27" customFormat="false" ht="27.75" hidden="false" customHeight="true" outlineLevel="0" collapsed="false">
      <c r="A27" s="38"/>
      <c r="B27" s="38"/>
      <c r="C27" s="41"/>
      <c r="D27" s="39"/>
      <c r="E27" s="44"/>
      <c r="F27" s="47" t="str">
        <f aca="true">IF(D27="","",IF(OR(I27="",I27="Sent"),TODAY()-D27,""))</f>
        <v/>
      </c>
      <c r="G27" s="39"/>
      <c r="H27" s="39"/>
      <c r="I27" s="41"/>
      <c r="J27" s="39"/>
      <c r="K27" s="44"/>
      <c r="L27" s="42" t="str">
        <f aca="true">IF(D27="","",IF(AND(OR(I27="Won",I27="Lost"),J27=""),"Add the decision date",IF(I27="Won","Won – book the work in",IF(NOT(OR(I27="",I27="Sent")),"Closed – note why in Notes",IF(G27="",IF(F27&gt;=Lists!$N$6,"Chase now (1st chase)","Wait – 1st chase on "&amp;TEXT(D27+Lists!$N$6,"dd/mm/yyyy")),IF(H27="",IF(TODAY()-G27&gt;=Lists!$N$6,"Chase again (2nd chase)","Wait – 2nd chase on "&amp;TEXT(G27+Lists!$N$6,"dd/mm/yyyy")),"Call them, then mark Won, Lost or Expired"))))))</f>
        <v/>
      </c>
      <c r="M27" s="38"/>
      <c r="N27" s="42" t="n">
        <f aca="false">IF(I27="Won",IF(K27&lt;&gt;"",K27,N(E27)),0)</f>
        <v>0</v>
      </c>
      <c r="O27" s="42" t="str">
        <f aca="false">IF(ISNUMBER(F27),IF(F27&gt;Lists!$N$6,D27+ROW()/100000,""),"")</f>
        <v/>
      </c>
    </row>
    <row r="28" customFormat="false" ht="27.75" hidden="false" customHeight="true" outlineLevel="0" collapsed="false">
      <c r="A28" s="38"/>
      <c r="B28" s="38"/>
      <c r="C28" s="41"/>
      <c r="D28" s="39"/>
      <c r="E28" s="44"/>
      <c r="F28" s="47" t="str">
        <f aca="true">IF(D28="","",IF(OR(I28="",I28="Sent"),TODAY()-D28,""))</f>
        <v/>
      </c>
      <c r="G28" s="39"/>
      <c r="H28" s="39"/>
      <c r="I28" s="41"/>
      <c r="J28" s="39"/>
      <c r="K28" s="44"/>
      <c r="L28" s="42" t="str">
        <f aca="true">IF(D28="","",IF(AND(OR(I28="Won",I28="Lost"),J28=""),"Add the decision date",IF(I28="Won","Won – book the work in",IF(NOT(OR(I28="",I28="Sent")),"Closed – note why in Notes",IF(G28="",IF(F28&gt;=Lists!$N$6,"Chase now (1st chase)","Wait – 1st chase on "&amp;TEXT(D28+Lists!$N$6,"dd/mm/yyyy")),IF(H28="",IF(TODAY()-G28&gt;=Lists!$N$6,"Chase again (2nd chase)","Wait – 2nd chase on "&amp;TEXT(G28+Lists!$N$6,"dd/mm/yyyy")),"Call them, then mark Won, Lost or Expired"))))))</f>
        <v/>
      </c>
      <c r="M28" s="38"/>
      <c r="N28" s="42" t="n">
        <f aca="false">IF(I28="Won",IF(K28&lt;&gt;"",K28,N(E28)),0)</f>
        <v>0</v>
      </c>
      <c r="O28" s="42" t="str">
        <f aca="false">IF(ISNUMBER(F28),IF(F28&gt;Lists!$N$6,D28+ROW()/100000,""),"")</f>
        <v/>
      </c>
    </row>
    <row r="29" customFormat="false" ht="27.75" hidden="false" customHeight="true" outlineLevel="0" collapsed="false">
      <c r="A29" s="38"/>
      <c r="B29" s="38"/>
      <c r="C29" s="41"/>
      <c r="D29" s="39"/>
      <c r="E29" s="44"/>
      <c r="F29" s="47" t="str">
        <f aca="true">IF(D29="","",IF(OR(I29="",I29="Sent"),TODAY()-D29,""))</f>
        <v/>
      </c>
      <c r="G29" s="39"/>
      <c r="H29" s="39"/>
      <c r="I29" s="41"/>
      <c r="J29" s="39"/>
      <c r="K29" s="44"/>
      <c r="L29" s="42" t="str">
        <f aca="true">IF(D29="","",IF(AND(OR(I29="Won",I29="Lost"),J29=""),"Add the decision date",IF(I29="Won","Won – book the work in",IF(NOT(OR(I29="",I29="Sent")),"Closed – note why in Notes",IF(G29="",IF(F29&gt;=Lists!$N$6,"Chase now (1st chase)","Wait – 1st chase on "&amp;TEXT(D29+Lists!$N$6,"dd/mm/yyyy")),IF(H29="",IF(TODAY()-G29&gt;=Lists!$N$6,"Chase again (2nd chase)","Wait – 2nd chase on "&amp;TEXT(G29+Lists!$N$6,"dd/mm/yyyy")),"Call them, then mark Won, Lost or Expired"))))))</f>
        <v/>
      </c>
      <c r="M29" s="38"/>
      <c r="N29" s="42" t="n">
        <f aca="false">IF(I29="Won",IF(K29&lt;&gt;"",K29,N(E29)),0)</f>
        <v>0</v>
      </c>
      <c r="O29" s="42" t="str">
        <f aca="false">IF(ISNUMBER(F29),IF(F29&gt;Lists!$N$6,D29+ROW()/100000,""),"")</f>
        <v/>
      </c>
    </row>
    <row r="30" customFormat="false" ht="27.75" hidden="false" customHeight="true" outlineLevel="0" collapsed="false">
      <c r="A30" s="38"/>
      <c r="B30" s="38"/>
      <c r="C30" s="41"/>
      <c r="D30" s="39"/>
      <c r="E30" s="44"/>
      <c r="F30" s="47" t="str">
        <f aca="true">IF(D30="","",IF(OR(I30="",I30="Sent"),TODAY()-D30,""))</f>
        <v/>
      </c>
      <c r="G30" s="39"/>
      <c r="H30" s="39"/>
      <c r="I30" s="41"/>
      <c r="J30" s="39"/>
      <c r="K30" s="44"/>
      <c r="L30" s="42" t="str">
        <f aca="true">IF(D30="","",IF(AND(OR(I30="Won",I30="Lost"),J30=""),"Add the decision date",IF(I30="Won","Won – book the work in",IF(NOT(OR(I30="",I30="Sent")),"Closed – note why in Notes",IF(G30="",IF(F30&gt;=Lists!$N$6,"Chase now (1st chase)","Wait – 1st chase on "&amp;TEXT(D30+Lists!$N$6,"dd/mm/yyyy")),IF(H30="",IF(TODAY()-G30&gt;=Lists!$N$6,"Chase again (2nd chase)","Wait – 2nd chase on "&amp;TEXT(G30+Lists!$N$6,"dd/mm/yyyy")),"Call them, then mark Won, Lost or Expired"))))))</f>
        <v/>
      </c>
      <c r="M30" s="38"/>
      <c r="N30" s="42" t="n">
        <f aca="false">IF(I30="Won",IF(K30&lt;&gt;"",K30,N(E30)),0)</f>
        <v>0</v>
      </c>
      <c r="O30" s="42" t="str">
        <f aca="false">IF(ISNUMBER(F30),IF(F30&gt;Lists!$N$6,D30+ROW()/100000,""),"")</f>
        <v/>
      </c>
    </row>
    <row r="31" customFormat="false" ht="27.75" hidden="false" customHeight="true" outlineLevel="0" collapsed="false">
      <c r="A31" s="38"/>
      <c r="B31" s="38"/>
      <c r="C31" s="41"/>
      <c r="D31" s="39"/>
      <c r="E31" s="44"/>
      <c r="F31" s="47" t="str">
        <f aca="true">IF(D31="","",IF(OR(I31="",I31="Sent"),TODAY()-D31,""))</f>
        <v/>
      </c>
      <c r="G31" s="39"/>
      <c r="H31" s="39"/>
      <c r="I31" s="41"/>
      <c r="J31" s="39"/>
      <c r="K31" s="44"/>
      <c r="L31" s="42" t="str">
        <f aca="true">IF(D31="","",IF(AND(OR(I31="Won",I31="Lost"),J31=""),"Add the decision date",IF(I31="Won","Won – book the work in",IF(NOT(OR(I31="",I31="Sent")),"Closed – note why in Notes",IF(G31="",IF(F31&gt;=Lists!$N$6,"Chase now (1st chase)","Wait – 1st chase on "&amp;TEXT(D31+Lists!$N$6,"dd/mm/yyyy")),IF(H31="",IF(TODAY()-G31&gt;=Lists!$N$6,"Chase again (2nd chase)","Wait – 2nd chase on "&amp;TEXT(G31+Lists!$N$6,"dd/mm/yyyy")),"Call them, then mark Won, Lost or Expired"))))))</f>
        <v/>
      </c>
      <c r="M31" s="38"/>
      <c r="N31" s="42" t="n">
        <f aca="false">IF(I31="Won",IF(K31&lt;&gt;"",K31,N(E31)),0)</f>
        <v>0</v>
      </c>
      <c r="O31" s="42" t="str">
        <f aca="false">IF(ISNUMBER(F31),IF(F31&gt;Lists!$N$6,D31+ROW()/100000,""),"")</f>
        <v/>
      </c>
    </row>
    <row r="32" customFormat="false" ht="27.75" hidden="false" customHeight="true" outlineLevel="0" collapsed="false">
      <c r="A32" s="38"/>
      <c r="B32" s="38"/>
      <c r="C32" s="41"/>
      <c r="D32" s="39"/>
      <c r="E32" s="44"/>
      <c r="F32" s="47" t="str">
        <f aca="true">IF(D32="","",IF(OR(I32="",I32="Sent"),TODAY()-D32,""))</f>
        <v/>
      </c>
      <c r="G32" s="39"/>
      <c r="H32" s="39"/>
      <c r="I32" s="41"/>
      <c r="J32" s="39"/>
      <c r="K32" s="44"/>
      <c r="L32" s="42" t="str">
        <f aca="true">IF(D32="","",IF(AND(OR(I32="Won",I32="Lost"),J32=""),"Add the decision date",IF(I32="Won","Won – book the work in",IF(NOT(OR(I32="",I32="Sent")),"Closed – note why in Notes",IF(G32="",IF(F32&gt;=Lists!$N$6,"Chase now (1st chase)","Wait – 1st chase on "&amp;TEXT(D32+Lists!$N$6,"dd/mm/yyyy")),IF(H32="",IF(TODAY()-G32&gt;=Lists!$N$6,"Chase again (2nd chase)","Wait – 2nd chase on "&amp;TEXT(G32+Lists!$N$6,"dd/mm/yyyy")),"Call them, then mark Won, Lost or Expired"))))))</f>
        <v/>
      </c>
      <c r="M32" s="38"/>
      <c r="N32" s="42" t="n">
        <f aca="false">IF(I32="Won",IF(K32&lt;&gt;"",K32,N(E32)),0)</f>
        <v>0</v>
      </c>
      <c r="O32" s="42" t="str">
        <f aca="false">IF(ISNUMBER(F32),IF(F32&gt;Lists!$N$6,D32+ROW()/100000,""),"")</f>
        <v/>
      </c>
    </row>
    <row r="33" customFormat="false" ht="27.75" hidden="false" customHeight="true" outlineLevel="0" collapsed="false">
      <c r="A33" s="38"/>
      <c r="B33" s="38"/>
      <c r="C33" s="41"/>
      <c r="D33" s="39"/>
      <c r="E33" s="44"/>
      <c r="F33" s="47" t="str">
        <f aca="true">IF(D33="","",IF(OR(I33="",I33="Sent"),TODAY()-D33,""))</f>
        <v/>
      </c>
      <c r="G33" s="39"/>
      <c r="H33" s="39"/>
      <c r="I33" s="41"/>
      <c r="J33" s="39"/>
      <c r="K33" s="44"/>
      <c r="L33" s="42" t="str">
        <f aca="true">IF(D33="","",IF(AND(OR(I33="Won",I33="Lost"),J33=""),"Add the decision date",IF(I33="Won","Won – book the work in",IF(NOT(OR(I33="",I33="Sent")),"Closed – note why in Notes",IF(G33="",IF(F33&gt;=Lists!$N$6,"Chase now (1st chase)","Wait – 1st chase on "&amp;TEXT(D33+Lists!$N$6,"dd/mm/yyyy")),IF(H33="",IF(TODAY()-G33&gt;=Lists!$N$6,"Chase again (2nd chase)","Wait – 2nd chase on "&amp;TEXT(G33+Lists!$N$6,"dd/mm/yyyy")),"Call them, then mark Won, Lost or Expired"))))))</f>
        <v/>
      </c>
      <c r="M33" s="38"/>
      <c r="N33" s="42" t="n">
        <f aca="false">IF(I33="Won",IF(K33&lt;&gt;"",K33,N(E33)),0)</f>
        <v>0</v>
      </c>
      <c r="O33" s="42" t="str">
        <f aca="false">IF(ISNUMBER(F33),IF(F33&gt;Lists!$N$6,D33+ROW()/100000,""),"")</f>
        <v/>
      </c>
    </row>
    <row r="34" customFormat="false" ht="27.75" hidden="false" customHeight="true" outlineLevel="0" collapsed="false">
      <c r="A34" s="38"/>
      <c r="B34" s="38"/>
      <c r="C34" s="41"/>
      <c r="D34" s="39"/>
      <c r="E34" s="44"/>
      <c r="F34" s="47" t="str">
        <f aca="true">IF(D34="","",IF(OR(I34="",I34="Sent"),TODAY()-D34,""))</f>
        <v/>
      </c>
      <c r="G34" s="39"/>
      <c r="H34" s="39"/>
      <c r="I34" s="41"/>
      <c r="J34" s="39"/>
      <c r="K34" s="44"/>
      <c r="L34" s="42" t="str">
        <f aca="true">IF(D34="","",IF(AND(OR(I34="Won",I34="Lost"),J34=""),"Add the decision date",IF(I34="Won","Won – book the work in",IF(NOT(OR(I34="",I34="Sent")),"Closed – note why in Notes",IF(G34="",IF(F34&gt;=Lists!$N$6,"Chase now (1st chase)","Wait – 1st chase on "&amp;TEXT(D34+Lists!$N$6,"dd/mm/yyyy")),IF(H34="",IF(TODAY()-G34&gt;=Lists!$N$6,"Chase again (2nd chase)","Wait – 2nd chase on "&amp;TEXT(G34+Lists!$N$6,"dd/mm/yyyy")),"Call them, then mark Won, Lost or Expired"))))))</f>
        <v/>
      </c>
      <c r="M34" s="38"/>
      <c r="N34" s="42" t="n">
        <f aca="false">IF(I34="Won",IF(K34&lt;&gt;"",K34,N(E34)),0)</f>
        <v>0</v>
      </c>
      <c r="O34" s="42" t="str">
        <f aca="false">IF(ISNUMBER(F34),IF(F34&gt;Lists!$N$6,D34+ROW()/100000,""),"")</f>
        <v/>
      </c>
    </row>
    <row r="35" customFormat="false" ht="27.75" hidden="false" customHeight="true" outlineLevel="0" collapsed="false">
      <c r="A35" s="38"/>
      <c r="B35" s="38"/>
      <c r="C35" s="41"/>
      <c r="D35" s="39"/>
      <c r="E35" s="44"/>
      <c r="F35" s="47" t="str">
        <f aca="true">IF(D35="","",IF(OR(I35="",I35="Sent"),TODAY()-D35,""))</f>
        <v/>
      </c>
      <c r="G35" s="39"/>
      <c r="H35" s="39"/>
      <c r="I35" s="41"/>
      <c r="J35" s="39"/>
      <c r="K35" s="44"/>
      <c r="L35" s="42" t="str">
        <f aca="true">IF(D35="","",IF(AND(OR(I35="Won",I35="Lost"),J35=""),"Add the decision date",IF(I35="Won","Won – book the work in",IF(NOT(OR(I35="",I35="Sent")),"Closed – note why in Notes",IF(G35="",IF(F35&gt;=Lists!$N$6,"Chase now (1st chase)","Wait – 1st chase on "&amp;TEXT(D35+Lists!$N$6,"dd/mm/yyyy")),IF(H35="",IF(TODAY()-G35&gt;=Lists!$N$6,"Chase again (2nd chase)","Wait – 2nd chase on "&amp;TEXT(G35+Lists!$N$6,"dd/mm/yyyy")),"Call them, then mark Won, Lost or Expired"))))))</f>
        <v/>
      </c>
      <c r="M35" s="38"/>
      <c r="N35" s="42" t="n">
        <f aca="false">IF(I35="Won",IF(K35&lt;&gt;"",K35,N(E35)),0)</f>
        <v>0</v>
      </c>
      <c r="O35" s="42" t="str">
        <f aca="false">IF(ISNUMBER(F35),IF(F35&gt;Lists!$N$6,D35+ROW()/100000,""),"")</f>
        <v/>
      </c>
    </row>
    <row r="36" customFormat="false" ht="27.75" hidden="false" customHeight="true" outlineLevel="0" collapsed="false">
      <c r="A36" s="38"/>
      <c r="B36" s="38"/>
      <c r="C36" s="41"/>
      <c r="D36" s="39"/>
      <c r="E36" s="44"/>
      <c r="F36" s="47" t="str">
        <f aca="true">IF(D36="","",IF(OR(I36="",I36="Sent"),TODAY()-D36,""))</f>
        <v/>
      </c>
      <c r="G36" s="39"/>
      <c r="H36" s="39"/>
      <c r="I36" s="41"/>
      <c r="J36" s="39"/>
      <c r="K36" s="44"/>
      <c r="L36" s="42" t="str">
        <f aca="true">IF(D36="","",IF(AND(OR(I36="Won",I36="Lost"),J36=""),"Add the decision date",IF(I36="Won","Won – book the work in",IF(NOT(OR(I36="",I36="Sent")),"Closed – note why in Notes",IF(G36="",IF(F36&gt;=Lists!$N$6,"Chase now (1st chase)","Wait – 1st chase on "&amp;TEXT(D36+Lists!$N$6,"dd/mm/yyyy")),IF(H36="",IF(TODAY()-G36&gt;=Lists!$N$6,"Chase again (2nd chase)","Wait – 2nd chase on "&amp;TEXT(G36+Lists!$N$6,"dd/mm/yyyy")),"Call them, then mark Won, Lost or Expired"))))))</f>
        <v/>
      </c>
      <c r="M36" s="38"/>
      <c r="N36" s="42" t="n">
        <f aca="false">IF(I36="Won",IF(K36&lt;&gt;"",K36,N(E36)),0)</f>
        <v>0</v>
      </c>
      <c r="O36" s="42" t="str">
        <f aca="false">IF(ISNUMBER(F36),IF(F36&gt;Lists!$N$6,D36+ROW()/100000,""),"")</f>
        <v/>
      </c>
    </row>
    <row r="37" customFormat="false" ht="27.75" hidden="false" customHeight="true" outlineLevel="0" collapsed="false">
      <c r="A37" s="38"/>
      <c r="B37" s="38"/>
      <c r="C37" s="41"/>
      <c r="D37" s="39"/>
      <c r="E37" s="44"/>
      <c r="F37" s="47" t="str">
        <f aca="true">IF(D37="","",IF(OR(I37="",I37="Sent"),TODAY()-D37,""))</f>
        <v/>
      </c>
      <c r="G37" s="39"/>
      <c r="H37" s="39"/>
      <c r="I37" s="41"/>
      <c r="J37" s="39"/>
      <c r="K37" s="44"/>
      <c r="L37" s="42" t="str">
        <f aca="true">IF(D37="","",IF(AND(OR(I37="Won",I37="Lost"),J37=""),"Add the decision date",IF(I37="Won","Won – book the work in",IF(NOT(OR(I37="",I37="Sent")),"Closed – note why in Notes",IF(G37="",IF(F37&gt;=Lists!$N$6,"Chase now (1st chase)","Wait – 1st chase on "&amp;TEXT(D37+Lists!$N$6,"dd/mm/yyyy")),IF(H37="",IF(TODAY()-G37&gt;=Lists!$N$6,"Chase again (2nd chase)","Wait – 2nd chase on "&amp;TEXT(G37+Lists!$N$6,"dd/mm/yyyy")),"Call them, then mark Won, Lost or Expired"))))))</f>
        <v/>
      </c>
      <c r="M37" s="38"/>
      <c r="N37" s="42" t="n">
        <f aca="false">IF(I37="Won",IF(K37&lt;&gt;"",K37,N(E37)),0)</f>
        <v>0</v>
      </c>
      <c r="O37" s="42" t="str">
        <f aca="false">IF(ISNUMBER(F37),IF(F37&gt;Lists!$N$6,D37+ROW()/100000,""),"")</f>
        <v/>
      </c>
    </row>
    <row r="38" customFormat="false" ht="27.75" hidden="false" customHeight="true" outlineLevel="0" collapsed="false">
      <c r="A38" s="38"/>
      <c r="B38" s="38"/>
      <c r="C38" s="41"/>
      <c r="D38" s="39"/>
      <c r="E38" s="44"/>
      <c r="F38" s="47" t="str">
        <f aca="true">IF(D38="","",IF(OR(I38="",I38="Sent"),TODAY()-D38,""))</f>
        <v/>
      </c>
      <c r="G38" s="39"/>
      <c r="H38" s="39"/>
      <c r="I38" s="41"/>
      <c r="J38" s="39"/>
      <c r="K38" s="44"/>
      <c r="L38" s="42" t="str">
        <f aca="true">IF(D38="","",IF(AND(OR(I38="Won",I38="Lost"),J38=""),"Add the decision date",IF(I38="Won","Won – book the work in",IF(NOT(OR(I38="",I38="Sent")),"Closed – note why in Notes",IF(G38="",IF(F38&gt;=Lists!$N$6,"Chase now (1st chase)","Wait – 1st chase on "&amp;TEXT(D38+Lists!$N$6,"dd/mm/yyyy")),IF(H38="",IF(TODAY()-G38&gt;=Lists!$N$6,"Chase again (2nd chase)","Wait – 2nd chase on "&amp;TEXT(G38+Lists!$N$6,"dd/mm/yyyy")),"Call them, then mark Won, Lost or Expired"))))))</f>
        <v/>
      </c>
      <c r="M38" s="38"/>
      <c r="N38" s="42" t="n">
        <f aca="false">IF(I38="Won",IF(K38&lt;&gt;"",K38,N(E38)),0)</f>
        <v>0</v>
      </c>
      <c r="O38" s="42" t="str">
        <f aca="false">IF(ISNUMBER(F38),IF(F38&gt;Lists!$N$6,D38+ROW()/100000,""),"")</f>
        <v/>
      </c>
    </row>
    <row r="39" customFormat="false" ht="27.75" hidden="false" customHeight="true" outlineLevel="0" collapsed="false">
      <c r="A39" s="38"/>
      <c r="B39" s="38"/>
      <c r="C39" s="41"/>
      <c r="D39" s="39"/>
      <c r="E39" s="44"/>
      <c r="F39" s="47" t="str">
        <f aca="true">IF(D39="","",IF(OR(I39="",I39="Sent"),TODAY()-D39,""))</f>
        <v/>
      </c>
      <c r="G39" s="39"/>
      <c r="H39" s="39"/>
      <c r="I39" s="41"/>
      <c r="J39" s="39"/>
      <c r="K39" s="44"/>
      <c r="L39" s="42" t="str">
        <f aca="true">IF(D39="","",IF(AND(OR(I39="Won",I39="Lost"),J39=""),"Add the decision date",IF(I39="Won","Won – book the work in",IF(NOT(OR(I39="",I39="Sent")),"Closed – note why in Notes",IF(G39="",IF(F39&gt;=Lists!$N$6,"Chase now (1st chase)","Wait – 1st chase on "&amp;TEXT(D39+Lists!$N$6,"dd/mm/yyyy")),IF(H39="",IF(TODAY()-G39&gt;=Lists!$N$6,"Chase again (2nd chase)","Wait – 2nd chase on "&amp;TEXT(G39+Lists!$N$6,"dd/mm/yyyy")),"Call them, then mark Won, Lost or Expired"))))))</f>
        <v/>
      </c>
      <c r="M39" s="38"/>
      <c r="N39" s="42" t="n">
        <f aca="false">IF(I39="Won",IF(K39&lt;&gt;"",K39,N(E39)),0)</f>
        <v>0</v>
      </c>
      <c r="O39" s="42" t="str">
        <f aca="false">IF(ISNUMBER(F39),IF(F39&gt;Lists!$N$6,D39+ROW()/100000,""),"")</f>
        <v/>
      </c>
    </row>
    <row r="40" customFormat="false" ht="27.75" hidden="false" customHeight="true" outlineLevel="0" collapsed="false">
      <c r="A40" s="38"/>
      <c r="B40" s="38"/>
      <c r="C40" s="41"/>
      <c r="D40" s="39"/>
      <c r="E40" s="44"/>
      <c r="F40" s="47" t="str">
        <f aca="true">IF(D40="","",IF(OR(I40="",I40="Sent"),TODAY()-D40,""))</f>
        <v/>
      </c>
      <c r="G40" s="39"/>
      <c r="H40" s="39"/>
      <c r="I40" s="41"/>
      <c r="J40" s="39"/>
      <c r="K40" s="44"/>
      <c r="L40" s="42" t="str">
        <f aca="true">IF(D40="","",IF(AND(OR(I40="Won",I40="Lost"),J40=""),"Add the decision date",IF(I40="Won","Won – book the work in",IF(NOT(OR(I40="",I40="Sent")),"Closed – note why in Notes",IF(G40="",IF(F40&gt;=Lists!$N$6,"Chase now (1st chase)","Wait – 1st chase on "&amp;TEXT(D40+Lists!$N$6,"dd/mm/yyyy")),IF(H40="",IF(TODAY()-G40&gt;=Lists!$N$6,"Chase again (2nd chase)","Wait – 2nd chase on "&amp;TEXT(G40+Lists!$N$6,"dd/mm/yyyy")),"Call them, then mark Won, Lost or Expired"))))))</f>
        <v/>
      </c>
      <c r="M40" s="38"/>
      <c r="N40" s="42" t="n">
        <f aca="false">IF(I40="Won",IF(K40&lt;&gt;"",K40,N(E40)),0)</f>
        <v>0</v>
      </c>
      <c r="O40" s="42" t="str">
        <f aca="false">IF(ISNUMBER(F40),IF(F40&gt;Lists!$N$6,D40+ROW()/100000,""),"")</f>
        <v/>
      </c>
    </row>
    <row r="41" customFormat="false" ht="27.75" hidden="false" customHeight="true" outlineLevel="0" collapsed="false">
      <c r="A41" s="38"/>
      <c r="B41" s="38"/>
      <c r="C41" s="41"/>
      <c r="D41" s="39"/>
      <c r="E41" s="44"/>
      <c r="F41" s="47" t="str">
        <f aca="true">IF(D41="","",IF(OR(I41="",I41="Sent"),TODAY()-D41,""))</f>
        <v/>
      </c>
      <c r="G41" s="39"/>
      <c r="H41" s="39"/>
      <c r="I41" s="41"/>
      <c r="J41" s="39"/>
      <c r="K41" s="44"/>
      <c r="L41" s="42" t="str">
        <f aca="true">IF(D41="","",IF(AND(OR(I41="Won",I41="Lost"),J41=""),"Add the decision date",IF(I41="Won","Won – book the work in",IF(NOT(OR(I41="",I41="Sent")),"Closed – note why in Notes",IF(G41="",IF(F41&gt;=Lists!$N$6,"Chase now (1st chase)","Wait – 1st chase on "&amp;TEXT(D41+Lists!$N$6,"dd/mm/yyyy")),IF(H41="",IF(TODAY()-G41&gt;=Lists!$N$6,"Chase again (2nd chase)","Wait – 2nd chase on "&amp;TEXT(G41+Lists!$N$6,"dd/mm/yyyy")),"Call them, then mark Won, Lost or Expired"))))))</f>
        <v/>
      </c>
      <c r="M41" s="38"/>
      <c r="N41" s="42" t="n">
        <f aca="false">IF(I41="Won",IF(K41&lt;&gt;"",K41,N(E41)),0)</f>
        <v>0</v>
      </c>
      <c r="O41" s="42" t="str">
        <f aca="false">IF(ISNUMBER(F41),IF(F41&gt;Lists!$N$6,D41+ROW()/100000,""),"")</f>
        <v/>
      </c>
    </row>
    <row r="42" customFormat="false" ht="27.75" hidden="false" customHeight="true" outlineLevel="0" collapsed="false">
      <c r="A42" s="38"/>
      <c r="B42" s="38"/>
      <c r="C42" s="41"/>
      <c r="D42" s="39"/>
      <c r="E42" s="44"/>
      <c r="F42" s="47" t="str">
        <f aca="true">IF(D42="","",IF(OR(I42="",I42="Sent"),TODAY()-D42,""))</f>
        <v/>
      </c>
      <c r="G42" s="39"/>
      <c r="H42" s="39"/>
      <c r="I42" s="41"/>
      <c r="J42" s="39"/>
      <c r="K42" s="44"/>
      <c r="L42" s="42" t="str">
        <f aca="true">IF(D42="","",IF(AND(OR(I42="Won",I42="Lost"),J42=""),"Add the decision date",IF(I42="Won","Won – book the work in",IF(NOT(OR(I42="",I42="Sent")),"Closed – note why in Notes",IF(G42="",IF(F42&gt;=Lists!$N$6,"Chase now (1st chase)","Wait – 1st chase on "&amp;TEXT(D42+Lists!$N$6,"dd/mm/yyyy")),IF(H42="",IF(TODAY()-G42&gt;=Lists!$N$6,"Chase again (2nd chase)","Wait – 2nd chase on "&amp;TEXT(G42+Lists!$N$6,"dd/mm/yyyy")),"Call them, then mark Won, Lost or Expired"))))))</f>
        <v/>
      </c>
      <c r="M42" s="38"/>
      <c r="N42" s="42" t="n">
        <f aca="false">IF(I42="Won",IF(K42&lt;&gt;"",K42,N(E42)),0)</f>
        <v>0</v>
      </c>
      <c r="O42" s="42" t="str">
        <f aca="false">IF(ISNUMBER(F42),IF(F42&gt;Lists!$N$6,D42+ROW()/100000,""),"")</f>
        <v/>
      </c>
    </row>
    <row r="43" customFormat="false" ht="27.75" hidden="false" customHeight="true" outlineLevel="0" collapsed="false">
      <c r="A43" s="38"/>
      <c r="B43" s="38"/>
      <c r="C43" s="41"/>
      <c r="D43" s="39"/>
      <c r="E43" s="44"/>
      <c r="F43" s="47" t="str">
        <f aca="true">IF(D43="","",IF(OR(I43="",I43="Sent"),TODAY()-D43,""))</f>
        <v/>
      </c>
      <c r="G43" s="39"/>
      <c r="H43" s="39"/>
      <c r="I43" s="41"/>
      <c r="J43" s="39"/>
      <c r="K43" s="44"/>
      <c r="L43" s="42" t="str">
        <f aca="true">IF(D43="","",IF(AND(OR(I43="Won",I43="Lost"),J43=""),"Add the decision date",IF(I43="Won","Won – book the work in",IF(NOT(OR(I43="",I43="Sent")),"Closed – note why in Notes",IF(G43="",IF(F43&gt;=Lists!$N$6,"Chase now (1st chase)","Wait – 1st chase on "&amp;TEXT(D43+Lists!$N$6,"dd/mm/yyyy")),IF(H43="",IF(TODAY()-G43&gt;=Lists!$N$6,"Chase again (2nd chase)","Wait – 2nd chase on "&amp;TEXT(G43+Lists!$N$6,"dd/mm/yyyy")),"Call them, then mark Won, Lost or Expired"))))))</f>
        <v/>
      </c>
      <c r="M43" s="38"/>
      <c r="N43" s="42" t="n">
        <f aca="false">IF(I43="Won",IF(K43&lt;&gt;"",K43,N(E43)),0)</f>
        <v>0</v>
      </c>
      <c r="O43" s="42" t="str">
        <f aca="false">IF(ISNUMBER(F43),IF(F43&gt;Lists!$N$6,D43+ROW()/100000,""),"")</f>
        <v/>
      </c>
    </row>
    <row r="44" customFormat="false" ht="27.75" hidden="false" customHeight="true" outlineLevel="0" collapsed="false">
      <c r="A44" s="38"/>
      <c r="B44" s="38"/>
      <c r="C44" s="41"/>
      <c r="D44" s="39"/>
      <c r="E44" s="44"/>
      <c r="F44" s="47" t="str">
        <f aca="true">IF(D44="","",IF(OR(I44="",I44="Sent"),TODAY()-D44,""))</f>
        <v/>
      </c>
      <c r="G44" s="39"/>
      <c r="H44" s="39"/>
      <c r="I44" s="41"/>
      <c r="J44" s="39"/>
      <c r="K44" s="44"/>
      <c r="L44" s="42" t="str">
        <f aca="true">IF(D44="","",IF(AND(OR(I44="Won",I44="Lost"),J44=""),"Add the decision date",IF(I44="Won","Won – book the work in",IF(NOT(OR(I44="",I44="Sent")),"Closed – note why in Notes",IF(G44="",IF(F44&gt;=Lists!$N$6,"Chase now (1st chase)","Wait – 1st chase on "&amp;TEXT(D44+Lists!$N$6,"dd/mm/yyyy")),IF(H44="",IF(TODAY()-G44&gt;=Lists!$N$6,"Chase again (2nd chase)","Wait – 2nd chase on "&amp;TEXT(G44+Lists!$N$6,"dd/mm/yyyy")),"Call them, then mark Won, Lost or Expired"))))))</f>
        <v/>
      </c>
      <c r="M44" s="38"/>
      <c r="N44" s="42" t="n">
        <f aca="false">IF(I44="Won",IF(K44&lt;&gt;"",K44,N(E44)),0)</f>
        <v>0</v>
      </c>
      <c r="O44" s="42" t="str">
        <f aca="false">IF(ISNUMBER(F44),IF(F44&gt;Lists!$N$6,D44+ROW()/100000,""),"")</f>
        <v/>
      </c>
    </row>
    <row r="45" customFormat="false" ht="27.75" hidden="false" customHeight="true" outlineLevel="0" collapsed="false">
      <c r="A45" s="38"/>
      <c r="B45" s="38"/>
      <c r="C45" s="41"/>
      <c r="D45" s="39"/>
      <c r="E45" s="44"/>
      <c r="F45" s="47" t="str">
        <f aca="true">IF(D45="","",IF(OR(I45="",I45="Sent"),TODAY()-D45,""))</f>
        <v/>
      </c>
      <c r="G45" s="39"/>
      <c r="H45" s="39"/>
      <c r="I45" s="41"/>
      <c r="J45" s="39"/>
      <c r="K45" s="44"/>
      <c r="L45" s="42" t="str">
        <f aca="true">IF(D45="","",IF(AND(OR(I45="Won",I45="Lost"),J45=""),"Add the decision date",IF(I45="Won","Won – book the work in",IF(NOT(OR(I45="",I45="Sent")),"Closed – note why in Notes",IF(G45="",IF(F45&gt;=Lists!$N$6,"Chase now (1st chase)","Wait – 1st chase on "&amp;TEXT(D45+Lists!$N$6,"dd/mm/yyyy")),IF(H45="",IF(TODAY()-G45&gt;=Lists!$N$6,"Chase again (2nd chase)","Wait – 2nd chase on "&amp;TEXT(G45+Lists!$N$6,"dd/mm/yyyy")),"Call them, then mark Won, Lost or Expired"))))))</f>
        <v/>
      </c>
      <c r="M45" s="38"/>
      <c r="N45" s="42" t="n">
        <f aca="false">IF(I45="Won",IF(K45&lt;&gt;"",K45,N(E45)),0)</f>
        <v>0</v>
      </c>
      <c r="O45" s="42" t="str">
        <f aca="false">IF(ISNUMBER(F45),IF(F45&gt;Lists!$N$6,D45+ROW()/100000,""),"")</f>
        <v/>
      </c>
    </row>
    <row r="46" customFormat="false" ht="27.75" hidden="false" customHeight="true" outlineLevel="0" collapsed="false">
      <c r="A46" s="38"/>
      <c r="B46" s="38"/>
      <c r="C46" s="41"/>
      <c r="D46" s="39"/>
      <c r="E46" s="44"/>
      <c r="F46" s="47" t="str">
        <f aca="true">IF(D46="","",IF(OR(I46="",I46="Sent"),TODAY()-D46,""))</f>
        <v/>
      </c>
      <c r="G46" s="39"/>
      <c r="H46" s="39"/>
      <c r="I46" s="41"/>
      <c r="J46" s="39"/>
      <c r="K46" s="44"/>
      <c r="L46" s="42" t="str">
        <f aca="true">IF(D46="","",IF(AND(OR(I46="Won",I46="Lost"),J46=""),"Add the decision date",IF(I46="Won","Won – book the work in",IF(NOT(OR(I46="",I46="Sent")),"Closed – note why in Notes",IF(G46="",IF(F46&gt;=Lists!$N$6,"Chase now (1st chase)","Wait – 1st chase on "&amp;TEXT(D46+Lists!$N$6,"dd/mm/yyyy")),IF(H46="",IF(TODAY()-G46&gt;=Lists!$N$6,"Chase again (2nd chase)","Wait – 2nd chase on "&amp;TEXT(G46+Lists!$N$6,"dd/mm/yyyy")),"Call them, then mark Won, Lost or Expired"))))))</f>
        <v/>
      </c>
      <c r="M46" s="38"/>
      <c r="N46" s="42" t="n">
        <f aca="false">IF(I46="Won",IF(K46&lt;&gt;"",K46,N(E46)),0)</f>
        <v>0</v>
      </c>
      <c r="O46" s="42" t="str">
        <f aca="false">IF(ISNUMBER(F46),IF(F46&gt;Lists!$N$6,D46+ROW()/100000,""),"")</f>
        <v/>
      </c>
    </row>
    <row r="47" customFormat="false" ht="27.75" hidden="false" customHeight="true" outlineLevel="0" collapsed="false">
      <c r="A47" s="38"/>
      <c r="B47" s="38"/>
      <c r="C47" s="41"/>
      <c r="D47" s="39"/>
      <c r="E47" s="44"/>
      <c r="F47" s="47" t="str">
        <f aca="true">IF(D47="","",IF(OR(I47="",I47="Sent"),TODAY()-D47,""))</f>
        <v/>
      </c>
      <c r="G47" s="39"/>
      <c r="H47" s="39"/>
      <c r="I47" s="41"/>
      <c r="J47" s="39"/>
      <c r="K47" s="44"/>
      <c r="L47" s="42" t="str">
        <f aca="true">IF(D47="","",IF(AND(OR(I47="Won",I47="Lost"),J47=""),"Add the decision date",IF(I47="Won","Won – book the work in",IF(NOT(OR(I47="",I47="Sent")),"Closed – note why in Notes",IF(G47="",IF(F47&gt;=Lists!$N$6,"Chase now (1st chase)","Wait – 1st chase on "&amp;TEXT(D47+Lists!$N$6,"dd/mm/yyyy")),IF(H47="",IF(TODAY()-G47&gt;=Lists!$N$6,"Chase again (2nd chase)","Wait – 2nd chase on "&amp;TEXT(G47+Lists!$N$6,"dd/mm/yyyy")),"Call them, then mark Won, Lost or Expired"))))))</f>
        <v/>
      </c>
      <c r="M47" s="38"/>
      <c r="N47" s="42" t="n">
        <f aca="false">IF(I47="Won",IF(K47&lt;&gt;"",K47,N(E47)),0)</f>
        <v>0</v>
      </c>
      <c r="O47" s="42" t="str">
        <f aca="false">IF(ISNUMBER(F47),IF(F47&gt;Lists!$N$6,D47+ROW()/100000,""),"")</f>
        <v/>
      </c>
    </row>
    <row r="48" customFormat="false" ht="27.75" hidden="false" customHeight="true" outlineLevel="0" collapsed="false">
      <c r="A48" s="38"/>
      <c r="B48" s="38"/>
      <c r="C48" s="41"/>
      <c r="D48" s="39"/>
      <c r="E48" s="44"/>
      <c r="F48" s="47" t="str">
        <f aca="true">IF(D48="","",IF(OR(I48="",I48="Sent"),TODAY()-D48,""))</f>
        <v/>
      </c>
      <c r="G48" s="39"/>
      <c r="H48" s="39"/>
      <c r="I48" s="41"/>
      <c r="J48" s="39"/>
      <c r="K48" s="44"/>
      <c r="L48" s="42" t="str">
        <f aca="true">IF(D48="","",IF(AND(OR(I48="Won",I48="Lost"),J48=""),"Add the decision date",IF(I48="Won","Won – book the work in",IF(NOT(OR(I48="",I48="Sent")),"Closed – note why in Notes",IF(G48="",IF(F48&gt;=Lists!$N$6,"Chase now (1st chase)","Wait – 1st chase on "&amp;TEXT(D48+Lists!$N$6,"dd/mm/yyyy")),IF(H48="",IF(TODAY()-G48&gt;=Lists!$N$6,"Chase again (2nd chase)","Wait – 2nd chase on "&amp;TEXT(G48+Lists!$N$6,"dd/mm/yyyy")),"Call them, then mark Won, Lost or Expired"))))))</f>
        <v/>
      </c>
      <c r="M48" s="38"/>
      <c r="N48" s="42" t="n">
        <f aca="false">IF(I48="Won",IF(K48&lt;&gt;"",K48,N(E48)),0)</f>
        <v>0</v>
      </c>
      <c r="O48" s="42" t="str">
        <f aca="false">IF(ISNUMBER(F48),IF(F48&gt;Lists!$N$6,D48+ROW()/100000,""),"")</f>
        <v/>
      </c>
    </row>
    <row r="49" customFormat="false" ht="27.75" hidden="false" customHeight="true" outlineLevel="0" collapsed="false">
      <c r="A49" s="38"/>
      <c r="B49" s="38"/>
      <c r="C49" s="41"/>
      <c r="D49" s="39"/>
      <c r="E49" s="44"/>
      <c r="F49" s="47" t="str">
        <f aca="true">IF(D49="","",IF(OR(I49="",I49="Sent"),TODAY()-D49,""))</f>
        <v/>
      </c>
      <c r="G49" s="39"/>
      <c r="H49" s="39"/>
      <c r="I49" s="41"/>
      <c r="J49" s="39"/>
      <c r="K49" s="44"/>
      <c r="L49" s="42" t="str">
        <f aca="true">IF(D49="","",IF(AND(OR(I49="Won",I49="Lost"),J49=""),"Add the decision date",IF(I49="Won","Won – book the work in",IF(NOT(OR(I49="",I49="Sent")),"Closed – note why in Notes",IF(G49="",IF(F49&gt;=Lists!$N$6,"Chase now (1st chase)","Wait – 1st chase on "&amp;TEXT(D49+Lists!$N$6,"dd/mm/yyyy")),IF(H49="",IF(TODAY()-G49&gt;=Lists!$N$6,"Chase again (2nd chase)","Wait – 2nd chase on "&amp;TEXT(G49+Lists!$N$6,"dd/mm/yyyy")),"Call them, then mark Won, Lost or Expired"))))))</f>
        <v/>
      </c>
      <c r="M49" s="38"/>
      <c r="N49" s="42" t="n">
        <f aca="false">IF(I49="Won",IF(K49&lt;&gt;"",K49,N(E49)),0)</f>
        <v>0</v>
      </c>
      <c r="O49" s="42" t="str">
        <f aca="false">IF(ISNUMBER(F49),IF(F49&gt;Lists!$N$6,D49+ROW()/100000,""),"")</f>
        <v/>
      </c>
    </row>
    <row r="50" customFormat="false" ht="27.75" hidden="false" customHeight="true" outlineLevel="0" collapsed="false">
      <c r="A50" s="38"/>
      <c r="B50" s="38"/>
      <c r="C50" s="41"/>
      <c r="D50" s="39"/>
      <c r="E50" s="44"/>
      <c r="F50" s="47" t="str">
        <f aca="true">IF(D50="","",IF(OR(I50="",I50="Sent"),TODAY()-D50,""))</f>
        <v/>
      </c>
      <c r="G50" s="39"/>
      <c r="H50" s="39"/>
      <c r="I50" s="41"/>
      <c r="J50" s="39"/>
      <c r="K50" s="44"/>
      <c r="L50" s="42" t="str">
        <f aca="true">IF(D50="","",IF(AND(OR(I50="Won",I50="Lost"),J50=""),"Add the decision date",IF(I50="Won","Won – book the work in",IF(NOT(OR(I50="",I50="Sent")),"Closed – note why in Notes",IF(G50="",IF(F50&gt;=Lists!$N$6,"Chase now (1st chase)","Wait – 1st chase on "&amp;TEXT(D50+Lists!$N$6,"dd/mm/yyyy")),IF(H50="",IF(TODAY()-G50&gt;=Lists!$N$6,"Chase again (2nd chase)","Wait – 2nd chase on "&amp;TEXT(G50+Lists!$N$6,"dd/mm/yyyy")),"Call them, then mark Won, Lost or Expired"))))))</f>
        <v/>
      </c>
      <c r="M50" s="38"/>
      <c r="N50" s="42" t="n">
        <f aca="false">IF(I50="Won",IF(K50&lt;&gt;"",K50,N(E50)),0)</f>
        <v>0</v>
      </c>
      <c r="O50" s="42" t="str">
        <f aca="false">IF(ISNUMBER(F50),IF(F50&gt;Lists!$N$6,D50+ROW()/100000,""),"")</f>
        <v/>
      </c>
    </row>
    <row r="51" customFormat="false" ht="27.75" hidden="false" customHeight="true" outlineLevel="0" collapsed="false">
      <c r="A51" s="38"/>
      <c r="B51" s="38"/>
      <c r="C51" s="41"/>
      <c r="D51" s="39"/>
      <c r="E51" s="44"/>
      <c r="F51" s="47" t="str">
        <f aca="true">IF(D51="","",IF(OR(I51="",I51="Sent"),TODAY()-D51,""))</f>
        <v/>
      </c>
      <c r="G51" s="39"/>
      <c r="H51" s="39"/>
      <c r="I51" s="41"/>
      <c r="J51" s="39"/>
      <c r="K51" s="44"/>
      <c r="L51" s="42" t="str">
        <f aca="true">IF(D51="","",IF(AND(OR(I51="Won",I51="Lost"),J51=""),"Add the decision date",IF(I51="Won","Won – book the work in",IF(NOT(OR(I51="",I51="Sent")),"Closed – note why in Notes",IF(G51="",IF(F51&gt;=Lists!$N$6,"Chase now (1st chase)","Wait – 1st chase on "&amp;TEXT(D51+Lists!$N$6,"dd/mm/yyyy")),IF(H51="",IF(TODAY()-G51&gt;=Lists!$N$6,"Chase again (2nd chase)","Wait – 2nd chase on "&amp;TEXT(G51+Lists!$N$6,"dd/mm/yyyy")),"Call them, then mark Won, Lost or Expired"))))))</f>
        <v/>
      </c>
      <c r="M51" s="38"/>
      <c r="N51" s="42" t="n">
        <f aca="false">IF(I51="Won",IF(K51&lt;&gt;"",K51,N(E51)),0)</f>
        <v>0</v>
      </c>
      <c r="O51" s="42" t="str">
        <f aca="false">IF(ISNUMBER(F51),IF(F51&gt;Lists!$N$6,D51+ROW()/100000,""),"")</f>
        <v/>
      </c>
    </row>
    <row r="52" customFormat="false" ht="27.75" hidden="false" customHeight="true" outlineLevel="0" collapsed="false">
      <c r="A52" s="38"/>
      <c r="B52" s="38"/>
      <c r="C52" s="41"/>
      <c r="D52" s="39"/>
      <c r="E52" s="44"/>
      <c r="F52" s="47" t="str">
        <f aca="true">IF(D52="","",IF(OR(I52="",I52="Sent"),TODAY()-D52,""))</f>
        <v/>
      </c>
      <c r="G52" s="39"/>
      <c r="H52" s="39"/>
      <c r="I52" s="41"/>
      <c r="J52" s="39"/>
      <c r="K52" s="44"/>
      <c r="L52" s="42" t="str">
        <f aca="true">IF(D52="","",IF(AND(OR(I52="Won",I52="Lost"),J52=""),"Add the decision date",IF(I52="Won","Won – book the work in",IF(NOT(OR(I52="",I52="Sent")),"Closed – note why in Notes",IF(G52="",IF(F52&gt;=Lists!$N$6,"Chase now (1st chase)","Wait – 1st chase on "&amp;TEXT(D52+Lists!$N$6,"dd/mm/yyyy")),IF(H52="",IF(TODAY()-G52&gt;=Lists!$N$6,"Chase again (2nd chase)","Wait – 2nd chase on "&amp;TEXT(G52+Lists!$N$6,"dd/mm/yyyy")),"Call them, then mark Won, Lost or Expired"))))))</f>
        <v/>
      </c>
      <c r="M52" s="38"/>
      <c r="N52" s="42" t="n">
        <f aca="false">IF(I52="Won",IF(K52&lt;&gt;"",K52,N(E52)),0)</f>
        <v>0</v>
      </c>
      <c r="O52" s="42" t="str">
        <f aca="false">IF(ISNUMBER(F52),IF(F52&gt;Lists!$N$6,D52+ROW()/100000,""),"")</f>
        <v/>
      </c>
    </row>
    <row r="53" customFormat="false" ht="27.75" hidden="false" customHeight="true" outlineLevel="0" collapsed="false">
      <c r="A53" s="38"/>
      <c r="B53" s="38"/>
      <c r="C53" s="41"/>
      <c r="D53" s="39"/>
      <c r="E53" s="44"/>
      <c r="F53" s="47" t="str">
        <f aca="true">IF(D53="","",IF(OR(I53="",I53="Sent"),TODAY()-D53,""))</f>
        <v/>
      </c>
      <c r="G53" s="39"/>
      <c r="H53" s="39"/>
      <c r="I53" s="41"/>
      <c r="J53" s="39"/>
      <c r="K53" s="44"/>
      <c r="L53" s="42" t="str">
        <f aca="true">IF(D53="","",IF(AND(OR(I53="Won",I53="Lost"),J53=""),"Add the decision date",IF(I53="Won","Won – book the work in",IF(NOT(OR(I53="",I53="Sent")),"Closed – note why in Notes",IF(G53="",IF(F53&gt;=Lists!$N$6,"Chase now (1st chase)","Wait – 1st chase on "&amp;TEXT(D53+Lists!$N$6,"dd/mm/yyyy")),IF(H53="",IF(TODAY()-G53&gt;=Lists!$N$6,"Chase again (2nd chase)","Wait – 2nd chase on "&amp;TEXT(G53+Lists!$N$6,"dd/mm/yyyy")),"Call them, then mark Won, Lost or Expired"))))))</f>
        <v/>
      </c>
      <c r="M53" s="38"/>
      <c r="N53" s="42" t="n">
        <f aca="false">IF(I53="Won",IF(K53&lt;&gt;"",K53,N(E53)),0)</f>
        <v>0</v>
      </c>
      <c r="O53" s="42" t="str">
        <f aca="false">IF(ISNUMBER(F53),IF(F53&gt;Lists!$N$6,D53+ROW()/100000,""),"")</f>
        <v/>
      </c>
    </row>
    <row r="54" customFormat="false" ht="27.75" hidden="false" customHeight="true" outlineLevel="0" collapsed="false">
      <c r="A54" s="38"/>
      <c r="B54" s="38"/>
      <c r="C54" s="41"/>
      <c r="D54" s="39"/>
      <c r="E54" s="44"/>
      <c r="F54" s="47" t="str">
        <f aca="true">IF(D54="","",IF(OR(I54="",I54="Sent"),TODAY()-D54,""))</f>
        <v/>
      </c>
      <c r="G54" s="39"/>
      <c r="H54" s="39"/>
      <c r="I54" s="41"/>
      <c r="J54" s="39"/>
      <c r="K54" s="44"/>
      <c r="L54" s="42" t="str">
        <f aca="true">IF(D54="","",IF(AND(OR(I54="Won",I54="Lost"),J54=""),"Add the decision date",IF(I54="Won","Won – book the work in",IF(NOT(OR(I54="",I54="Sent")),"Closed – note why in Notes",IF(G54="",IF(F54&gt;=Lists!$N$6,"Chase now (1st chase)","Wait – 1st chase on "&amp;TEXT(D54+Lists!$N$6,"dd/mm/yyyy")),IF(H54="",IF(TODAY()-G54&gt;=Lists!$N$6,"Chase again (2nd chase)","Wait – 2nd chase on "&amp;TEXT(G54+Lists!$N$6,"dd/mm/yyyy")),"Call them, then mark Won, Lost or Expired"))))))</f>
        <v/>
      </c>
      <c r="M54" s="38"/>
      <c r="N54" s="42" t="n">
        <f aca="false">IF(I54="Won",IF(K54&lt;&gt;"",K54,N(E54)),0)</f>
        <v>0</v>
      </c>
      <c r="O54" s="42" t="str">
        <f aca="false">IF(ISNUMBER(F54),IF(F54&gt;Lists!$N$6,D54+ROW()/100000,""),"")</f>
        <v/>
      </c>
    </row>
    <row r="55" customFormat="false" ht="27.75" hidden="false" customHeight="true" outlineLevel="0" collapsed="false">
      <c r="A55" s="38"/>
      <c r="B55" s="38"/>
      <c r="C55" s="41"/>
      <c r="D55" s="39"/>
      <c r="E55" s="44"/>
      <c r="F55" s="47" t="str">
        <f aca="true">IF(D55="","",IF(OR(I55="",I55="Sent"),TODAY()-D55,""))</f>
        <v/>
      </c>
      <c r="G55" s="39"/>
      <c r="H55" s="39"/>
      <c r="I55" s="41"/>
      <c r="J55" s="39"/>
      <c r="K55" s="44"/>
      <c r="L55" s="42" t="str">
        <f aca="true">IF(D55="","",IF(AND(OR(I55="Won",I55="Lost"),J55=""),"Add the decision date",IF(I55="Won","Won – book the work in",IF(NOT(OR(I55="",I55="Sent")),"Closed – note why in Notes",IF(G55="",IF(F55&gt;=Lists!$N$6,"Chase now (1st chase)","Wait – 1st chase on "&amp;TEXT(D55+Lists!$N$6,"dd/mm/yyyy")),IF(H55="",IF(TODAY()-G55&gt;=Lists!$N$6,"Chase again (2nd chase)","Wait – 2nd chase on "&amp;TEXT(G55+Lists!$N$6,"dd/mm/yyyy")),"Call them, then mark Won, Lost or Expired"))))))</f>
        <v/>
      </c>
      <c r="M55" s="38"/>
      <c r="N55" s="42" t="n">
        <f aca="false">IF(I55="Won",IF(K55&lt;&gt;"",K55,N(E55)),0)</f>
        <v>0</v>
      </c>
      <c r="O55" s="42" t="str">
        <f aca="false">IF(ISNUMBER(F55),IF(F55&gt;Lists!$N$6,D55+ROW()/100000,""),"")</f>
        <v/>
      </c>
    </row>
    <row r="56" customFormat="false" ht="27.75" hidden="false" customHeight="true" outlineLevel="0" collapsed="false">
      <c r="A56" s="38"/>
      <c r="B56" s="38"/>
      <c r="C56" s="41"/>
      <c r="D56" s="39"/>
      <c r="E56" s="44"/>
      <c r="F56" s="47" t="str">
        <f aca="true">IF(D56="","",IF(OR(I56="",I56="Sent"),TODAY()-D56,""))</f>
        <v/>
      </c>
      <c r="G56" s="39"/>
      <c r="H56" s="39"/>
      <c r="I56" s="41"/>
      <c r="J56" s="39"/>
      <c r="K56" s="44"/>
      <c r="L56" s="42" t="str">
        <f aca="true">IF(D56="","",IF(AND(OR(I56="Won",I56="Lost"),J56=""),"Add the decision date",IF(I56="Won","Won – book the work in",IF(NOT(OR(I56="",I56="Sent")),"Closed – note why in Notes",IF(G56="",IF(F56&gt;=Lists!$N$6,"Chase now (1st chase)","Wait – 1st chase on "&amp;TEXT(D56+Lists!$N$6,"dd/mm/yyyy")),IF(H56="",IF(TODAY()-G56&gt;=Lists!$N$6,"Chase again (2nd chase)","Wait – 2nd chase on "&amp;TEXT(G56+Lists!$N$6,"dd/mm/yyyy")),"Call them, then mark Won, Lost or Expired"))))))</f>
        <v/>
      </c>
      <c r="M56" s="38"/>
      <c r="N56" s="42" t="n">
        <f aca="false">IF(I56="Won",IF(K56&lt;&gt;"",K56,N(E56)),0)</f>
        <v>0</v>
      </c>
      <c r="O56" s="42" t="str">
        <f aca="false">IF(ISNUMBER(F56),IF(F56&gt;Lists!$N$6,D56+ROW()/100000,""),"")</f>
        <v/>
      </c>
    </row>
    <row r="57" customFormat="false" ht="27.75" hidden="false" customHeight="true" outlineLevel="0" collapsed="false">
      <c r="A57" s="38"/>
      <c r="B57" s="38"/>
      <c r="C57" s="41"/>
      <c r="D57" s="39"/>
      <c r="E57" s="44"/>
      <c r="F57" s="47" t="str">
        <f aca="true">IF(D57="","",IF(OR(I57="",I57="Sent"),TODAY()-D57,""))</f>
        <v/>
      </c>
      <c r="G57" s="39"/>
      <c r="H57" s="39"/>
      <c r="I57" s="41"/>
      <c r="J57" s="39"/>
      <c r="K57" s="44"/>
      <c r="L57" s="42" t="str">
        <f aca="true">IF(D57="","",IF(AND(OR(I57="Won",I57="Lost"),J57=""),"Add the decision date",IF(I57="Won","Won – book the work in",IF(NOT(OR(I57="",I57="Sent")),"Closed – note why in Notes",IF(G57="",IF(F57&gt;=Lists!$N$6,"Chase now (1st chase)","Wait – 1st chase on "&amp;TEXT(D57+Lists!$N$6,"dd/mm/yyyy")),IF(H57="",IF(TODAY()-G57&gt;=Lists!$N$6,"Chase again (2nd chase)","Wait – 2nd chase on "&amp;TEXT(G57+Lists!$N$6,"dd/mm/yyyy")),"Call them, then mark Won, Lost or Expired"))))))</f>
        <v/>
      </c>
      <c r="M57" s="38"/>
      <c r="N57" s="42" t="n">
        <f aca="false">IF(I57="Won",IF(K57&lt;&gt;"",K57,N(E57)),0)</f>
        <v>0</v>
      </c>
      <c r="O57" s="42" t="str">
        <f aca="false">IF(ISNUMBER(F57),IF(F57&gt;Lists!$N$6,D57+ROW()/100000,""),"")</f>
        <v/>
      </c>
    </row>
    <row r="58" customFormat="false" ht="27.75" hidden="false" customHeight="true" outlineLevel="0" collapsed="false">
      <c r="A58" s="38"/>
      <c r="B58" s="38"/>
      <c r="C58" s="41"/>
      <c r="D58" s="39"/>
      <c r="E58" s="44"/>
      <c r="F58" s="47" t="str">
        <f aca="true">IF(D58="","",IF(OR(I58="",I58="Sent"),TODAY()-D58,""))</f>
        <v/>
      </c>
      <c r="G58" s="39"/>
      <c r="H58" s="39"/>
      <c r="I58" s="41"/>
      <c r="J58" s="39"/>
      <c r="K58" s="44"/>
      <c r="L58" s="42" t="str">
        <f aca="true">IF(D58="","",IF(AND(OR(I58="Won",I58="Lost"),J58=""),"Add the decision date",IF(I58="Won","Won – book the work in",IF(NOT(OR(I58="",I58="Sent")),"Closed – note why in Notes",IF(G58="",IF(F58&gt;=Lists!$N$6,"Chase now (1st chase)","Wait – 1st chase on "&amp;TEXT(D58+Lists!$N$6,"dd/mm/yyyy")),IF(H58="",IF(TODAY()-G58&gt;=Lists!$N$6,"Chase again (2nd chase)","Wait – 2nd chase on "&amp;TEXT(G58+Lists!$N$6,"dd/mm/yyyy")),"Call them, then mark Won, Lost or Expired"))))))</f>
        <v/>
      </c>
      <c r="M58" s="38"/>
      <c r="N58" s="42" t="n">
        <f aca="false">IF(I58="Won",IF(K58&lt;&gt;"",K58,N(E58)),0)</f>
        <v>0</v>
      </c>
      <c r="O58" s="42" t="str">
        <f aca="false">IF(ISNUMBER(F58),IF(F58&gt;Lists!$N$6,D58+ROW()/100000,""),"")</f>
        <v/>
      </c>
    </row>
    <row r="59" customFormat="false" ht="27.75" hidden="false" customHeight="true" outlineLevel="0" collapsed="false">
      <c r="A59" s="38"/>
      <c r="B59" s="38"/>
      <c r="C59" s="41"/>
      <c r="D59" s="39"/>
      <c r="E59" s="44"/>
      <c r="F59" s="47" t="str">
        <f aca="true">IF(D59="","",IF(OR(I59="",I59="Sent"),TODAY()-D59,""))</f>
        <v/>
      </c>
      <c r="G59" s="39"/>
      <c r="H59" s="39"/>
      <c r="I59" s="41"/>
      <c r="J59" s="39"/>
      <c r="K59" s="44"/>
      <c r="L59" s="42" t="str">
        <f aca="true">IF(D59="","",IF(AND(OR(I59="Won",I59="Lost"),J59=""),"Add the decision date",IF(I59="Won","Won – book the work in",IF(NOT(OR(I59="",I59="Sent")),"Closed – note why in Notes",IF(G59="",IF(F59&gt;=Lists!$N$6,"Chase now (1st chase)","Wait – 1st chase on "&amp;TEXT(D59+Lists!$N$6,"dd/mm/yyyy")),IF(H59="",IF(TODAY()-G59&gt;=Lists!$N$6,"Chase again (2nd chase)","Wait – 2nd chase on "&amp;TEXT(G59+Lists!$N$6,"dd/mm/yyyy")),"Call them, then mark Won, Lost or Expired"))))))</f>
        <v/>
      </c>
      <c r="M59" s="38"/>
      <c r="N59" s="42" t="n">
        <f aca="false">IF(I59="Won",IF(K59&lt;&gt;"",K59,N(E59)),0)</f>
        <v>0</v>
      </c>
      <c r="O59" s="42" t="str">
        <f aca="false">IF(ISNUMBER(F59),IF(F59&gt;Lists!$N$6,D59+ROW()/100000,""),"")</f>
        <v/>
      </c>
    </row>
    <row r="60" customFormat="false" ht="27.75" hidden="false" customHeight="true" outlineLevel="0" collapsed="false">
      <c r="A60" s="38"/>
      <c r="B60" s="38"/>
      <c r="C60" s="41"/>
      <c r="D60" s="39"/>
      <c r="E60" s="44"/>
      <c r="F60" s="47" t="str">
        <f aca="true">IF(D60="","",IF(OR(I60="",I60="Sent"),TODAY()-D60,""))</f>
        <v/>
      </c>
      <c r="G60" s="39"/>
      <c r="H60" s="39"/>
      <c r="I60" s="41"/>
      <c r="J60" s="39"/>
      <c r="K60" s="44"/>
      <c r="L60" s="42" t="str">
        <f aca="true">IF(D60="","",IF(AND(OR(I60="Won",I60="Lost"),J60=""),"Add the decision date",IF(I60="Won","Won – book the work in",IF(NOT(OR(I60="",I60="Sent")),"Closed – note why in Notes",IF(G60="",IF(F60&gt;=Lists!$N$6,"Chase now (1st chase)","Wait – 1st chase on "&amp;TEXT(D60+Lists!$N$6,"dd/mm/yyyy")),IF(H60="",IF(TODAY()-G60&gt;=Lists!$N$6,"Chase again (2nd chase)","Wait – 2nd chase on "&amp;TEXT(G60+Lists!$N$6,"dd/mm/yyyy")),"Call them, then mark Won, Lost or Expired"))))))</f>
        <v/>
      </c>
      <c r="M60" s="38"/>
      <c r="N60" s="42" t="n">
        <f aca="false">IF(I60="Won",IF(K60&lt;&gt;"",K60,N(E60)),0)</f>
        <v>0</v>
      </c>
      <c r="O60" s="42" t="str">
        <f aca="false">IF(ISNUMBER(F60),IF(F60&gt;Lists!$N$6,D60+ROW()/100000,""),"")</f>
        <v/>
      </c>
    </row>
    <row r="61" customFormat="false" ht="27.75" hidden="false" customHeight="true" outlineLevel="0" collapsed="false">
      <c r="A61" s="38"/>
      <c r="B61" s="38"/>
      <c r="C61" s="41"/>
      <c r="D61" s="39"/>
      <c r="E61" s="44"/>
      <c r="F61" s="47" t="str">
        <f aca="true">IF(D61="","",IF(OR(I61="",I61="Sent"),TODAY()-D61,""))</f>
        <v/>
      </c>
      <c r="G61" s="39"/>
      <c r="H61" s="39"/>
      <c r="I61" s="41"/>
      <c r="J61" s="39"/>
      <c r="K61" s="44"/>
      <c r="L61" s="42" t="str">
        <f aca="true">IF(D61="","",IF(AND(OR(I61="Won",I61="Lost"),J61=""),"Add the decision date",IF(I61="Won","Won – book the work in",IF(NOT(OR(I61="",I61="Sent")),"Closed – note why in Notes",IF(G61="",IF(F61&gt;=Lists!$N$6,"Chase now (1st chase)","Wait – 1st chase on "&amp;TEXT(D61+Lists!$N$6,"dd/mm/yyyy")),IF(H61="",IF(TODAY()-G61&gt;=Lists!$N$6,"Chase again (2nd chase)","Wait – 2nd chase on "&amp;TEXT(G61+Lists!$N$6,"dd/mm/yyyy")),"Call them, then mark Won, Lost or Expired"))))))</f>
        <v/>
      </c>
      <c r="M61" s="38"/>
      <c r="N61" s="42" t="n">
        <f aca="false">IF(I61="Won",IF(K61&lt;&gt;"",K61,N(E61)),0)</f>
        <v>0</v>
      </c>
      <c r="O61" s="42" t="str">
        <f aca="false">IF(ISNUMBER(F61),IF(F61&gt;Lists!$N$6,D61+ROW()/100000,""),"")</f>
        <v/>
      </c>
    </row>
    <row r="62" customFormat="false" ht="27.75" hidden="false" customHeight="true" outlineLevel="0" collapsed="false">
      <c r="A62" s="38"/>
      <c r="B62" s="38"/>
      <c r="C62" s="41"/>
      <c r="D62" s="39"/>
      <c r="E62" s="44"/>
      <c r="F62" s="47" t="str">
        <f aca="true">IF(D62="","",IF(OR(I62="",I62="Sent"),TODAY()-D62,""))</f>
        <v/>
      </c>
      <c r="G62" s="39"/>
      <c r="H62" s="39"/>
      <c r="I62" s="41"/>
      <c r="J62" s="39"/>
      <c r="K62" s="44"/>
      <c r="L62" s="42" t="str">
        <f aca="true">IF(D62="","",IF(AND(OR(I62="Won",I62="Lost"),J62=""),"Add the decision date",IF(I62="Won","Won – book the work in",IF(NOT(OR(I62="",I62="Sent")),"Closed – note why in Notes",IF(G62="",IF(F62&gt;=Lists!$N$6,"Chase now (1st chase)","Wait – 1st chase on "&amp;TEXT(D62+Lists!$N$6,"dd/mm/yyyy")),IF(H62="",IF(TODAY()-G62&gt;=Lists!$N$6,"Chase again (2nd chase)","Wait – 2nd chase on "&amp;TEXT(G62+Lists!$N$6,"dd/mm/yyyy")),"Call them, then mark Won, Lost or Expired"))))))</f>
        <v/>
      </c>
      <c r="M62" s="38"/>
      <c r="N62" s="42" t="n">
        <f aca="false">IF(I62="Won",IF(K62&lt;&gt;"",K62,N(E62)),0)</f>
        <v>0</v>
      </c>
      <c r="O62" s="42" t="str">
        <f aca="false">IF(ISNUMBER(F62),IF(F62&gt;Lists!$N$6,D62+ROW()/100000,""),"")</f>
        <v/>
      </c>
    </row>
    <row r="63" customFormat="false" ht="27.75" hidden="false" customHeight="true" outlineLevel="0" collapsed="false">
      <c r="A63" s="38"/>
      <c r="B63" s="38"/>
      <c r="C63" s="41"/>
      <c r="D63" s="39"/>
      <c r="E63" s="44"/>
      <c r="F63" s="47" t="str">
        <f aca="true">IF(D63="","",IF(OR(I63="",I63="Sent"),TODAY()-D63,""))</f>
        <v/>
      </c>
      <c r="G63" s="39"/>
      <c r="H63" s="39"/>
      <c r="I63" s="41"/>
      <c r="J63" s="39"/>
      <c r="K63" s="44"/>
      <c r="L63" s="42" t="str">
        <f aca="true">IF(D63="","",IF(AND(OR(I63="Won",I63="Lost"),J63=""),"Add the decision date",IF(I63="Won","Won – book the work in",IF(NOT(OR(I63="",I63="Sent")),"Closed – note why in Notes",IF(G63="",IF(F63&gt;=Lists!$N$6,"Chase now (1st chase)","Wait – 1st chase on "&amp;TEXT(D63+Lists!$N$6,"dd/mm/yyyy")),IF(H63="",IF(TODAY()-G63&gt;=Lists!$N$6,"Chase again (2nd chase)","Wait – 2nd chase on "&amp;TEXT(G63+Lists!$N$6,"dd/mm/yyyy")),"Call them, then mark Won, Lost or Expired"))))))</f>
        <v/>
      </c>
      <c r="M63" s="38"/>
      <c r="N63" s="42" t="n">
        <f aca="false">IF(I63="Won",IF(K63&lt;&gt;"",K63,N(E63)),0)</f>
        <v>0</v>
      </c>
      <c r="O63" s="42" t="str">
        <f aca="false">IF(ISNUMBER(F63),IF(F63&gt;Lists!$N$6,D63+ROW()/100000,""),"")</f>
        <v/>
      </c>
    </row>
    <row r="64" customFormat="false" ht="27.75" hidden="false" customHeight="true" outlineLevel="0" collapsed="false">
      <c r="A64" s="38"/>
      <c r="B64" s="38"/>
      <c r="C64" s="41"/>
      <c r="D64" s="39"/>
      <c r="E64" s="44"/>
      <c r="F64" s="47" t="str">
        <f aca="true">IF(D64="","",IF(OR(I64="",I64="Sent"),TODAY()-D64,""))</f>
        <v/>
      </c>
      <c r="G64" s="39"/>
      <c r="H64" s="39"/>
      <c r="I64" s="41"/>
      <c r="J64" s="39"/>
      <c r="K64" s="44"/>
      <c r="L64" s="42" t="str">
        <f aca="true">IF(D64="","",IF(AND(OR(I64="Won",I64="Lost"),J64=""),"Add the decision date",IF(I64="Won","Won – book the work in",IF(NOT(OR(I64="",I64="Sent")),"Closed – note why in Notes",IF(G64="",IF(F64&gt;=Lists!$N$6,"Chase now (1st chase)","Wait – 1st chase on "&amp;TEXT(D64+Lists!$N$6,"dd/mm/yyyy")),IF(H64="",IF(TODAY()-G64&gt;=Lists!$N$6,"Chase again (2nd chase)","Wait – 2nd chase on "&amp;TEXT(G64+Lists!$N$6,"dd/mm/yyyy")),"Call them, then mark Won, Lost or Expired"))))))</f>
        <v/>
      </c>
      <c r="M64" s="38"/>
      <c r="N64" s="42" t="n">
        <f aca="false">IF(I64="Won",IF(K64&lt;&gt;"",K64,N(E64)),0)</f>
        <v>0</v>
      </c>
      <c r="O64" s="42" t="str">
        <f aca="false">IF(ISNUMBER(F64),IF(F64&gt;Lists!$N$6,D64+ROW()/100000,""),"")</f>
        <v/>
      </c>
    </row>
    <row r="65" customFormat="false" ht="27.75" hidden="false" customHeight="true" outlineLevel="0" collapsed="false">
      <c r="A65" s="38"/>
      <c r="B65" s="38"/>
      <c r="C65" s="41"/>
      <c r="D65" s="39"/>
      <c r="E65" s="44"/>
      <c r="F65" s="47" t="str">
        <f aca="true">IF(D65="","",IF(OR(I65="",I65="Sent"),TODAY()-D65,""))</f>
        <v/>
      </c>
      <c r="G65" s="39"/>
      <c r="H65" s="39"/>
      <c r="I65" s="41"/>
      <c r="J65" s="39"/>
      <c r="K65" s="44"/>
      <c r="L65" s="42" t="str">
        <f aca="true">IF(D65="","",IF(AND(OR(I65="Won",I65="Lost"),J65=""),"Add the decision date",IF(I65="Won","Won – book the work in",IF(NOT(OR(I65="",I65="Sent")),"Closed – note why in Notes",IF(G65="",IF(F65&gt;=Lists!$N$6,"Chase now (1st chase)","Wait – 1st chase on "&amp;TEXT(D65+Lists!$N$6,"dd/mm/yyyy")),IF(H65="",IF(TODAY()-G65&gt;=Lists!$N$6,"Chase again (2nd chase)","Wait – 2nd chase on "&amp;TEXT(G65+Lists!$N$6,"dd/mm/yyyy")),"Call them, then mark Won, Lost or Expired"))))))</f>
        <v/>
      </c>
      <c r="M65" s="38"/>
      <c r="N65" s="42" t="n">
        <f aca="false">IF(I65="Won",IF(K65&lt;&gt;"",K65,N(E65)),0)</f>
        <v>0</v>
      </c>
      <c r="O65" s="42" t="str">
        <f aca="false">IF(ISNUMBER(F65),IF(F65&gt;Lists!$N$6,D65+ROW()/100000,""),"")</f>
        <v/>
      </c>
    </row>
    <row r="66" customFormat="false" ht="27.75" hidden="false" customHeight="true" outlineLevel="0" collapsed="false">
      <c r="A66" s="38"/>
      <c r="B66" s="38"/>
      <c r="C66" s="41"/>
      <c r="D66" s="39"/>
      <c r="E66" s="44"/>
      <c r="F66" s="47" t="str">
        <f aca="true">IF(D66="","",IF(OR(I66="",I66="Sent"),TODAY()-D66,""))</f>
        <v/>
      </c>
      <c r="G66" s="39"/>
      <c r="H66" s="39"/>
      <c r="I66" s="41"/>
      <c r="J66" s="39"/>
      <c r="K66" s="44"/>
      <c r="L66" s="42" t="str">
        <f aca="true">IF(D66="","",IF(AND(OR(I66="Won",I66="Lost"),J66=""),"Add the decision date",IF(I66="Won","Won – book the work in",IF(NOT(OR(I66="",I66="Sent")),"Closed – note why in Notes",IF(G66="",IF(F66&gt;=Lists!$N$6,"Chase now (1st chase)","Wait – 1st chase on "&amp;TEXT(D66+Lists!$N$6,"dd/mm/yyyy")),IF(H66="",IF(TODAY()-G66&gt;=Lists!$N$6,"Chase again (2nd chase)","Wait – 2nd chase on "&amp;TEXT(G66+Lists!$N$6,"dd/mm/yyyy")),"Call them, then mark Won, Lost or Expired"))))))</f>
        <v/>
      </c>
      <c r="M66" s="38"/>
      <c r="N66" s="42" t="n">
        <f aca="false">IF(I66="Won",IF(K66&lt;&gt;"",K66,N(E66)),0)</f>
        <v>0</v>
      </c>
      <c r="O66" s="42" t="str">
        <f aca="false">IF(ISNUMBER(F66),IF(F66&gt;Lists!$N$6,D66+ROW()/100000,""),"")</f>
        <v/>
      </c>
    </row>
    <row r="67" customFormat="false" ht="27.75" hidden="false" customHeight="true" outlineLevel="0" collapsed="false">
      <c r="A67" s="38"/>
      <c r="B67" s="38"/>
      <c r="C67" s="41"/>
      <c r="D67" s="39"/>
      <c r="E67" s="44"/>
      <c r="F67" s="47" t="str">
        <f aca="true">IF(D67="","",IF(OR(I67="",I67="Sent"),TODAY()-D67,""))</f>
        <v/>
      </c>
      <c r="G67" s="39"/>
      <c r="H67" s="39"/>
      <c r="I67" s="41"/>
      <c r="J67" s="39"/>
      <c r="K67" s="44"/>
      <c r="L67" s="42" t="str">
        <f aca="true">IF(D67="","",IF(AND(OR(I67="Won",I67="Lost"),J67=""),"Add the decision date",IF(I67="Won","Won – book the work in",IF(NOT(OR(I67="",I67="Sent")),"Closed – note why in Notes",IF(G67="",IF(F67&gt;=Lists!$N$6,"Chase now (1st chase)","Wait – 1st chase on "&amp;TEXT(D67+Lists!$N$6,"dd/mm/yyyy")),IF(H67="",IF(TODAY()-G67&gt;=Lists!$N$6,"Chase again (2nd chase)","Wait – 2nd chase on "&amp;TEXT(G67+Lists!$N$6,"dd/mm/yyyy")),"Call them, then mark Won, Lost or Expired"))))))</f>
        <v/>
      </c>
      <c r="M67" s="38"/>
      <c r="N67" s="42" t="n">
        <f aca="false">IF(I67="Won",IF(K67&lt;&gt;"",K67,N(E67)),0)</f>
        <v>0</v>
      </c>
      <c r="O67" s="42" t="str">
        <f aca="false">IF(ISNUMBER(F67),IF(F67&gt;Lists!$N$6,D67+ROW()/100000,""),"")</f>
        <v/>
      </c>
    </row>
    <row r="68" customFormat="false" ht="27.75" hidden="false" customHeight="true" outlineLevel="0" collapsed="false">
      <c r="A68" s="38"/>
      <c r="B68" s="38"/>
      <c r="C68" s="41"/>
      <c r="D68" s="39"/>
      <c r="E68" s="44"/>
      <c r="F68" s="47" t="str">
        <f aca="true">IF(D68="","",IF(OR(I68="",I68="Sent"),TODAY()-D68,""))</f>
        <v/>
      </c>
      <c r="G68" s="39"/>
      <c r="H68" s="39"/>
      <c r="I68" s="41"/>
      <c r="J68" s="39"/>
      <c r="K68" s="44"/>
      <c r="L68" s="42" t="str">
        <f aca="true">IF(D68="","",IF(AND(OR(I68="Won",I68="Lost"),J68=""),"Add the decision date",IF(I68="Won","Won – book the work in",IF(NOT(OR(I68="",I68="Sent")),"Closed – note why in Notes",IF(G68="",IF(F68&gt;=Lists!$N$6,"Chase now (1st chase)","Wait – 1st chase on "&amp;TEXT(D68+Lists!$N$6,"dd/mm/yyyy")),IF(H68="",IF(TODAY()-G68&gt;=Lists!$N$6,"Chase again (2nd chase)","Wait – 2nd chase on "&amp;TEXT(G68+Lists!$N$6,"dd/mm/yyyy")),"Call them, then mark Won, Lost or Expired"))))))</f>
        <v/>
      </c>
      <c r="M68" s="38"/>
      <c r="N68" s="42" t="n">
        <f aca="false">IF(I68="Won",IF(K68&lt;&gt;"",K68,N(E68)),0)</f>
        <v>0</v>
      </c>
      <c r="O68" s="42" t="str">
        <f aca="false">IF(ISNUMBER(F68),IF(F68&gt;Lists!$N$6,D68+ROW()/100000,""),"")</f>
        <v/>
      </c>
    </row>
    <row r="69" customFormat="false" ht="27.75" hidden="false" customHeight="true" outlineLevel="0" collapsed="false">
      <c r="A69" s="38"/>
      <c r="B69" s="38"/>
      <c r="C69" s="41"/>
      <c r="D69" s="39"/>
      <c r="E69" s="44"/>
      <c r="F69" s="47" t="str">
        <f aca="true">IF(D69="","",IF(OR(I69="",I69="Sent"),TODAY()-D69,""))</f>
        <v/>
      </c>
      <c r="G69" s="39"/>
      <c r="H69" s="39"/>
      <c r="I69" s="41"/>
      <c r="J69" s="39"/>
      <c r="K69" s="44"/>
      <c r="L69" s="42" t="str">
        <f aca="true">IF(D69="","",IF(AND(OR(I69="Won",I69="Lost"),J69=""),"Add the decision date",IF(I69="Won","Won – book the work in",IF(NOT(OR(I69="",I69="Sent")),"Closed – note why in Notes",IF(G69="",IF(F69&gt;=Lists!$N$6,"Chase now (1st chase)","Wait – 1st chase on "&amp;TEXT(D69+Lists!$N$6,"dd/mm/yyyy")),IF(H69="",IF(TODAY()-G69&gt;=Lists!$N$6,"Chase again (2nd chase)","Wait – 2nd chase on "&amp;TEXT(G69+Lists!$N$6,"dd/mm/yyyy")),"Call them, then mark Won, Lost or Expired"))))))</f>
        <v/>
      </c>
      <c r="M69" s="38"/>
      <c r="N69" s="42" t="n">
        <f aca="false">IF(I69="Won",IF(K69&lt;&gt;"",K69,N(E69)),0)</f>
        <v>0</v>
      </c>
      <c r="O69" s="42" t="str">
        <f aca="false">IF(ISNUMBER(F69),IF(F69&gt;Lists!$N$6,D69+ROW()/100000,""),"")</f>
        <v/>
      </c>
    </row>
    <row r="70" customFormat="false" ht="27.75" hidden="false" customHeight="true" outlineLevel="0" collapsed="false">
      <c r="A70" s="38"/>
      <c r="B70" s="38"/>
      <c r="C70" s="41"/>
      <c r="D70" s="39"/>
      <c r="E70" s="44"/>
      <c r="F70" s="47" t="str">
        <f aca="true">IF(D70="","",IF(OR(I70="",I70="Sent"),TODAY()-D70,""))</f>
        <v/>
      </c>
      <c r="G70" s="39"/>
      <c r="H70" s="39"/>
      <c r="I70" s="41"/>
      <c r="J70" s="39"/>
      <c r="K70" s="44"/>
      <c r="L70" s="42" t="str">
        <f aca="true">IF(D70="","",IF(AND(OR(I70="Won",I70="Lost"),J70=""),"Add the decision date",IF(I70="Won","Won – book the work in",IF(NOT(OR(I70="",I70="Sent")),"Closed – note why in Notes",IF(G70="",IF(F70&gt;=Lists!$N$6,"Chase now (1st chase)","Wait – 1st chase on "&amp;TEXT(D70+Lists!$N$6,"dd/mm/yyyy")),IF(H70="",IF(TODAY()-G70&gt;=Lists!$N$6,"Chase again (2nd chase)","Wait – 2nd chase on "&amp;TEXT(G70+Lists!$N$6,"dd/mm/yyyy")),"Call them, then mark Won, Lost or Expired"))))))</f>
        <v/>
      </c>
      <c r="M70" s="38"/>
      <c r="N70" s="42" t="n">
        <f aca="false">IF(I70="Won",IF(K70&lt;&gt;"",K70,N(E70)),0)</f>
        <v>0</v>
      </c>
      <c r="O70" s="42" t="str">
        <f aca="false">IF(ISNUMBER(F70),IF(F70&gt;Lists!$N$6,D70+ROW()/100000,""),"")</f>
        <v/>
      </c>
    </row>
    <row r="71" customFormat="false" ht="27.75" hidden="false" customHeight="true" outlineLevel="0" collapsed="false">
      <c r="A71" s="38"/>
      <c r="B71" s="38"/>
      <c r="C71" s="41"/>
      <c r="D71" s="39"/>
      <c r="E71" s="44"/>
      <c r="F71" s="47" t="str">
        <f aca="true">IF(D71="","",IF(OR(I71="",I71="Sent"),TODAY()-D71,""))</f>
        <v/>
      </c>
      <c r="G71" s="39"/>
      <c r="H71" s="39"/>
      <c r="I71" s="41"/>
      <c r="J71" s="39"/>
      <c r="K71" s="44"/>
      <c r="L71" s="42" t="str">
        <f aca="true">IF(D71="","",IF(AND(OR(I71="Won",I71="Lost"),J71=""),"Add the decision date",IF(I71="Won","Won – book the work in",IF(NOT(OR(I71="",I71="Sent")),"Closed – note why in Notes",IF(G71="",IF(F71&gt;=Lists!$N$6,"Chase now (1st chase)","Wait – 1st chase on "&amp;TEXT(D71+Lists!$N$6,"dd/mm/yyyy")),IF(H71="",IF(TODAY()-G71&gt;=Lists!$N$6,"Chase again (2nd chase)","Wait – 2nd chase on "&amp;TEXT(G71+Lists!$N$6,"dd/mm/yyyy")),"Call them, then mark Won, Lost or Expired"))))))</f>
        <v/>
      </c>
      <c r="M71" s="38"/>
      <c r="N71" s="42" t="n">
        <f aca="false">IF(I71="Won",IF(K71&lt;&gt;"",K71,N(E71)),0)</f>
        <v>0</v>
      </c>
      <c r="O71" s="42" t="str">
        <f aca="false">IF(ISNUMBER(F71),IF(F71&gt;Lists!$N$6,D71+ROW()/100000,""),"")</f>
        <v/>
      </c>
    </row>
    <row r="72" customFormat="false" ht="27.75" hidden="false" customHeight="true" outlineLevel="0" collapsed="false">
      <c r="A72" s="38"/>
      <c r="B72" s="38"/>
      <c r="C72" s="41"/>
      <c r="D72" s="39"/>
      <c r="E72" s="44"/>
      <c r="F72" s="47" t="str">
        <f aca="true">IF(D72="","",IF(OR(I72="",I72="Sent"),TODAY()-D72,""))</f>
        <v/>
      </c>
      <c r="G72" s="39"/>
      <c r="H72" s="39"/>
      <c r="I72" s="41"/>
      <c r="J72" s="39"/>
      <c r="K72" s="44"/>
      <c r="L72" s="42" t="str">
        <f aca="true">IF(D72="","",IF(AND(OR(I72="Won",I72="Lost"),J72=""),"Add the decision date",IF(I72="Won","Won – book the work in",IF(NOT(OR(I72="",I72="Sent")),"Closed – note why in Notes",IF(G72="",IF(F72&gt;=Lists!$N$6,"Chase now (1st chase)","Wait – 1st chase on "&amp;TEXT(D72+Lists!$N$6,"dd/mm/yyyy")),IF(H72="",IF(TODAY()-G72&gt;=Lists!$N$6,"Chase again (2nd chase)","Wait – 2nd chase on "&amp;TEXT(G72+Lists!$N$6,"dd/mm/yyyy")),"Call them, then mark Won, Lost or Expired"))))))</f>
        <v/>
      </c>
      <c r="M72" s="38"/>
      <c r="N72" s="42" t="n">
        <f aca="false">IF(I72="Won",IF(K72&lt;&gt;"",K72,N(E72)),0)</f>
        <v>0</v>
      </c>
      <c r="O72" s="42" t="str">
        <f aca="false">IF(ISNUMBER(F72),IF(F72&gt;Lists!$N$6,D72+ROW()/100000,""),"")</f>
        <v/>
      </c>
    </row>
    <row r="73" customFormat="false" ht="27.75" hidden="false" customHeight="true" outlineLevel="0" collapsed="false">
      <c r="A73" s="38"/>
      <c r="B73" s="38"/>
      <c r="C73" s="41"/>
      <c r="D73" s="39"/>
      <c r="E73" s="44"/>
      <c r="F73" s="47" t="str">
        <f aca="true">IF(D73="","",IF(OR(I73="",I73="Sent"),TODAY()-D73,""))</f>
        <v/>
      </c>
      <c r="G73" s="39"/>
      <c r="H73" s="39"/>
      <c r="I73" s="41"/>
      <c r="J73" s="39"/>
      <c r="K73" s="44"/>
      <c r="L73" s="42" t="str">
        <f aca="true">IF(D73="","",IF(AND(OR(I73="Won",I73="Lost"),J73=""),"Add the decision date",IF(I73="Won","Won – book the work in",IF(NOT(OR(I73="",I73="Sent")),"Closed – note why in Notes",IF(G73="",IF(F73&gt;=Lists!$N$6,"Chase now (1st chase)","Wait – 1st chase on "&amp;TEXT(D73+Lists!$N$6,"dd/mm/yyyy")),IF(H73="",IF(TODAY()-G73&gt;=Lists!$N$6,"Chase again (2nd chase)","Wait – 2nd chase on "&amp;TEXT(G73+Lists!$N$6,"dd/mm/yyyy")),"Call them, then mark Won, Lost or Expired"))))))</f>
        <v/>
      </c>
      <c r="M73" s="38"/>
      <c r="N73" s="42" t="n">
        <f aca="false">IF(I73="Won",IF(K73&lt;&gt;"",K73,N(E73)),0)</f>
        <v>0</v>
      </c>
      <c r="O73" s="42" t="str">
        <f aca="false">IF(ISNUMBER(F73),IF(F73&gt;Lists!$N$6,D73+ROW()/100000,""),"")</f>
        <v/>
      </c>
    </row>
    <row r="74" customFormat="false" ht="27.75" hidden="false" customHeight="true" outlineLevel="0" collapsed="false">
      <c r="A74" s="38"/>
      <c r="B74" s="38"/>
      <c r="C74" s="41"/>
      <c r="D74" s="39"/>
      <c r="E74" s="44"/>
      <c r="F74" s="47" t="str">
        <f aca="true">IF(D74="","",IF(OR(I74="",I74="Sent"),TODAY()-D74,""))</f>
        <v/>
      </c>
      <c r="G74" s="39"/>
      <c r="H74" s="39"/>
      <c r="I74" s="41"/>
      <c r="J74" s="39"/>
      <c r="K74" s="44"/>
      <c r="L74" s="42" t="str">
        <f aca="true">IF(D74="","",IF(AND(OR(I74="Won",I74="Lost"),J74=""),"Add the decision date",IF(I74="Won","Won – book the work in",IF(NOT(OR(I74="",I74="Sent")),"Closed – note why in Notes",IF(G74="",IF(F74&gt;=Lists!$N$6,"Chase now (1st chase)","Wait – 1st chase on "&amp;TEXT(D74+Lists!$N$6,"dd/mm/yyyy")),IF(H74="",IF(TODAY()-G74&gt;=Lists!$N$6,"Chase again (2nd chase)","Wait – 2nd chase on "&amp;TEXT(G74+Lists!$N$6,"dd/mm/yyyy")),"Call them, then mark Won, Lost or Expired"))))))</f>
        <v/>
      </c>
      <c r="M74" s="38"/>
      <c r="N74" s="42" t="n">
        <f aca="false">IF(I74="Won",IF(K74&lt;&gt;"",K74,N(E74)),0)</f>
        <v>0</v>
      </c>
      <c r="O74" s="42" t="str">
        <f aca="false">IF(ISNUMBER(F74),IF(F74&gt;Lists!$N$6,D74+ROW()/100000,""),"")</f>
        <v/>
      </c>
    </row>
    <row r="75" customFormat="false" ht="27.75" hidden="false" customHeight="true" outlineLevel="0" collapsed="false">
      <c r="A75" s="38"/>
      <c r="B75" s="38"/>
      <c r="C75" s="41"/>
      <c r="D75" s="39"/>
      <c r="E75" s="44"/>
      <c r="F75" s="47" t="str">
        <f aca="true">IF(D75="","",IF(OR(I75="",I75="Sent"),TODAY()-D75,""))</f>
        <v/>
      </c>
      <c r="G75" s="39"/>
      <c r="H75" s="39"/>
      <c r="I75" s="41"/>
      <c r="J75" s="39"/>
      <c r="K75" s="44"/>
      <c r="L75" s="42" t="str">
        <f aca="true">IF(D75="","",IF(AND(OR(I75="Won",I75="Lost"),J75=""),"Add the decision date",IF(I75="Won","Won – book the work in",IF(NOT(OR(I75="",I75="Sent")),"Closed – note why in Notes",IF(G75="",IF(F75&gt;=Lists!$N$6,"Chase now (1st chase)","Wait – 1st chase on "&amp;TEXT(D75+Lists!$N$6,"dd/mm/yyyy")),IF(H75="",IF(TODAY()-G75&gt;=Lists!$N$6,"Chase again (2nd chase)","Wait – 2nd chase on "&amp;TEXT(G75+Lists!$N$6,"dd/mm/yyyy")),"Call them, then mark Won, Lost or Expired"))))))</f>
        <v/>
      </c>
      <c r="M75" s="38"/>
      <c r="N75" s="42" t="n">
        <f aca="false">IF(I75="Won",IF(K75&lt;&gt;"",K75,N(E75)),0)</f>
        <v>0</v>
      </c>
      <c r="O75" s="42" t="str">
        <f aca="false">IF(ISNUMBER(F75),IF(F75&gt;Lists!$N$6,D75+ROW()/100000,""),"")</f>
        <v/>
      </c>
    </row>
    <row r="76" customFormat="false" ht="27.75" hidden="false" customHeight="true" outlineLevel="0" collapsed="false">
      <c r="A76" s="38"/>
      <c r="B76" s="38"/>
      <c r="C76" s="41"/>
      <c r="D76" s="39"/>
      <c r="E76" s="44"/>
      <c r="F76" s="47" t="str">
        <f aca="true">IF(D76="","",IF(OR(I76="",I76="Sent"),TODAY()-D76,""))</f>
        <v/>
      </c>
      <c r="G76" s="39"/>
      <c r="H76" s="39"/>
      <c r="I76" s="41"/>
      <c r="J76" s="39"/>
      <c r="K76" s="44"/>
      <c r="L76" s="42" t="str">
        <f aca="true">IF(D76="","",IF(AND(OR(I76="Won",I76="Lost"),J76=""),"Add the decision date",IF(I76="Won","Won – book the work in",IF(NOT(OR(I76="",I76="Sent")),"Closed – note why in Notes",IF(G76="",IF(F76&gt;=Lists!$N$6,"Chase now (1st chase)","Wait – 1st chase on "&amp;TEXT(D76+Lists!$N$6,"dd/mm/yyyy")),IF(H76="",IF(TODAY()-G76&gt;=Lists!$N$6,"Chase again (2nd chase)","Wait – 2nd chase on "&amp;TEXT(G76+Lists!$N$6,"dd/mm/yyyy")),"Call them, then mark Won, Lost or Expired"))))))</f>
        <v/>
      </c>
      <c r="M76" s="38"/>
      <c r="N76" s="42" t="n">
        <f aca="false">IF(I76="Won",IF(K76&lt;&gt;"",K76,N(E76)),0)</f>
        <v>0</v>
      </c>
      <c r="O76" s="42" t="str">
        <f aca="false">IF(ISNUMBER(F76),IF(F76&gt;Lists!$N$6,D76+ROW()/100000,""),"")</f>
        <v/>
      </c>
    </row>
    <row r="77" customFormat="false" ht="27.75" hidden="false" customHeight="true" outlineLevel="0" collapsed="false">
      <c r="A77" s="38"/>
      <c r="B77" s="38"/>
      <c r="C77" s="41"/>
      <c r="D77" s="39"/>
      <c r="E77" s="44"/>
      <c r="F77" s="47" t="str">
        <f aca="true">IF(D77="","",IF(OR(I77="",I77="Sent"),TODAY()-D77,""))</f>
        <v/>
      </c>
      <c r="G77" s="39"/>
      <c r="H77" s="39"/>
      <c r="I77" s="41"/>
      <c r="J77" s="39"/>
      <c r="K77" s="44"/>
      <c r="L77" s="42" t="str">
        <f aca="true">IF(D77="","",IF(AND(OR(I77="Won",I77="Lost"),J77=""),"Add the decision date",IF(I77="Won","Won – book the work in",IF(NOT(OR(I77="",I77="Sent")),"Closed – note why in Notes",IF(G77="",IF(F77&gt;=Lists!$N$6,"Chase now (1st chase)","Wait – 1st chase on "&amp;TEXT(D77+Lists!$N$6,"dd/mm/yyyy")),IF(H77="",IF(TODAY()-G77&gt;=Lists!$N$6,"Chase again (2nd chase)","Wait – 2nd chase on "&amp;TEXT(G77+Lists!$N$6,"dd/mm/yyyy")),"Call them, then mark Won, Lost or Expired"))))))</f>
        <v/>
      </c>
      <c r="M77" s="38"/>
      <c r="N77" s="42" t="n">
        <f aca="false">IF(I77="Won",IF(K77&lt;&gt;"",K77,N(E77)),0)</f>
        <v>0</v>
      </c>
      <c r="O77" s="42" t="str">
        <f aca="false">IF(ISNUMBER(F77),IF(F77&gt;Lists!$N$6,D77+ROW()/100000,""),"")</f>
        <v/>
      </c>
    </row>
    <row r="78" customFormat="false" ht="27.75" hidden="false" customHeight="true" outlineLevel="0" collapsed="false">
      <c r="A78" s="38"/>
      <c r="B78" s="38"/>
      <c r="C78" s="41"/>
      <c r="D78" s="39"/>
      <c r="E78" s="44"/>
      <c r="F78" s="47" t="str">
        <f aca="true">IF(D78="","",IF(OR(I78="",I78="Sent"),TODAY()-D78,""))</f>
        <v/>
      </c>
      <c r="G78" s="39"/>
      <c r="H78" s="39"/>
      <c r="I78" s="41"/>
      <c r="J78" s="39"/>
      <c r="K78" s="44"/>
      <c r="L78" s="42" t="str">
        <f aca="true">IF(D78="","",IF(AND(OR(I78="Won",I78="Lost"),J78=""),"Add the decision date",IF(I78="Won","Won – book the work in",IF(NOT(OR(I78="",I78="Sent")),"Closed – note why in Notes",IF(G78="",IF(F78&gt;=Lists!$N$6,"Chase now (1st chase)","Wait – 1st chase on "&amp;TEXT(D78+Lists!$N$6,"dd/mm/yyyy")),IF(H78="",IF(TODAY()-G78&gt;=Lists!$N$6,"Chase again (2nd chase)","Wait – 2nd chase on "&amp;TEXT(G78+Lists!$N$6,"dd/mm/yyyy")),"Call them, then mark Won, Lost or Expired"))))))</f>
        <v/>
      </c>
      <c r="M78" s="38"/>
      <c r="N78" s="42" t="n">
        <f aca="false">IF(I78="Won",IF(K78&lt;&gt;"",K78,N(E78)),0)</f>
        <v>0</v>
      </c>
      <c r="O78" s="42" t="str">
        <f aca="false">IF(ISNUMBER(F78),IF(F78&gt;Lists!$N$6,D78+ROW()/100000,""),"")</f>
        <v/>
      </c>
    </row>
    <row r="79" customFormat="false" ht="27.75" hidden="false" customHeight="true" outlineLevel="0" collapsed="false">
      <c r="A79" s="38"/>
      <c r="B79" s="38"/>
      <c r="C79" s="41"/>
      <c r="D79" s="39"/>
      <c r="E79" s="44"/>
      <c r="F79" s="47" t="str">
        <f aca="true">IF(D79="","",IF(OR(I79="",I79="Sent"),TODAY()-D79,""))</f>
        <v/>
      </c>
      <c r="G79" s="39"/>
      <c r="H79" s="39"/>
      <c r="I79" s="41"/>
      <c r="J79" s="39"/>
      <c r="K79" s="44"/>
      <c r="L79" s="42" t="str">
        <f aca="true">IF(D79="","",IF(AND(OR(I79="Won",I79="Lost"),J79=""),"Add the decision date",IF(I79="Won","Won – book the work in",IF(NOT(OR(I79="",I79="Sent")),"Closed – note why in Notes",IF(G79="",IF(F79&gt;=Lists!$N$6,"Chase now (1st chase)","Wait – 1st chase on "&amp;TEXT(D79+Lists!$N$6,"dd/mm/yyyy")),IF(H79="",IF(TODAY()-G79&gt;=Lists!$N$6,"Chase again (2nd chase)","Wait – 2nd chase on "&amp;TEXT(G79+Lists!$N$6,"dd/mm/yyyy")),"Call them, then mark Won, Lost or Expired"))))))</f>
        <v/>
      </c>
      <c r="M79" s="38"/>
      <c r="N79" s="42" t="n">
        <f aca="false">IF(I79="Won",IF(K79&lt;&gt;"",K79,N(E79)),0)</f>
        <v>0</v>
      </c>
      <c r="O79" s="42" t="str">
        <f aca="false">IF(ISNUMBER(F79),IF(F79&gt;Lists!$N$6,D79+ROW()/100000,""),"")</f>
        <v/>
      </c>
    </row>
    <row r="80" customFormat="false" ht="27.75" hidden="false" customHeight="true" outlineLevel="0" collapsed="false">
      <c r="A80" s="38"/>
      <c r="B80" s="38"/>
      <c r="C80" s="41"/>
      <c r="D80" s="39"/>
      <c r="E80" s="44"/>
      <c r="F80" s="47" t="str">
        <f aca="true">IF(D80="","",IF(OR(I80="",I80="Sent"),TODAY()-D80,""))</f>
        <v/>
      </c>
      <c r="G80" s="39"/>
      <c r="H80" s="39"/>
      <c r="I80" s="41"/>
      <c r="J80" s="39"/>
      <c r="K80" s="44"/>
      <c r="L80" s="42" t="str">
        <f aca="true">IF(D80="","",IF(AND(OR(I80="Won",I80="Lost"),J80=""),"Add the decision date",IF(I80="Won","Won – book the work in",IF(NOT(OR(I80="",I80="Sent")),"Closed – note why in Notes",IF(G80="",IF(F80&gt;=Lists!$N$6,"Chase now (1st chase)","Wait – 1st chase on "&amp;TEXT(D80+Lists!$N$6,"dd/mm/yyyy")),IF(H80="",IF(TODAY()-G80&gt;=Lists!$N$6,"Chase again (2nd chase)","Wait – 2nd chase on "&amp;TEXT(G80+Lists!$N$6,"dd/mm/yyyy")),"Call them, then mark Won, Lost or Expired"))))))</f>
        <v/>
      </c>
      <c r="M80" s="38"/>
      <c r="N80" s="42" t="n">
        <f aca="false">IF(I80="Won",IF(K80&lt;&gt;"",K80,N(E80)),0)</f>
        <v>0</v>
      </c>
      <c r="O80" s="42" t="str">
        <f aca="false">IF(ISNUMBER(F80),IF(F80&gt;Lists!$N$6,D80+ROW()/100000,""),"")</f>
        <v/>
      </c>
    </row>
    <row r="81" customFormat="false" ht="27.75" hidden="false" customHeight="true" outlineLevel="0" collapsed="false">
      <c r="A81" s="38"/>
      <c r="B81" s="38"/>
      <c r="C81" s="41"/>
      <c r="D81" s="39"/>
      <c r="E81" s="44"/>
      <c r="F81" s="47" t="str">
        <f aca="true">IF(D81="","",IF(OR(I81="",I81="Sent"),TODAY()-D81,""))</f>
        <v/>
      </c>
      <c r="G81" s="39"/>
      <c r="H81" s="39"/>
      <c r="I81" s="41"/>
      <c r="J81" s="39"/>
      <c r="K81" s="44"/>
      <c r="L81" s="42" t="str">
        <f aca="true">IF(D81="","",IF(AND(OR(I81="Won",I81="Lost"),J81=""),"Add the decision date",IF(I81="Won","Won – book the work in",IF(NOT(OR(I81="",I81="Sent")),"Closed – note why in Notes",IF(G81="",IF(F81&gt;=Lists!$N$6,"Chase now (1st chase)","Wait – 1st chase on "&amp;TEXT(D81+Lists!$N$6,"dd/mm/yyyy")),IF(H81="",IF(TODAY()-G81&gt;=Lists!$N$6,"Chase again (2nd chase)","Wait – 2nd chase on "&amp;TEXT(G81+Lists!$N$6,"dd/mm/yyyy")),"Call them, then mark Won, Lost or Expired"))))))</f>
        <v/>
      </c>
      <c r="M81" s="38"/>
      <c r="N81" s="42" t="n">
        <f aca="false">IF(I81="Won",IF(K81&lt;&gt;"",K81,N(E81)),0)</f>
        <v>0</v>
      </c>
      <c r="O81" s="42" t="str">
        <f aca="false">IF(ISNUMBER(F81),IF(F81&gt;Lists!$N$6,D81+ROW()/100000,""),"")</f>
        <v/>
      </c>
    </row>
    <row r="82" customFormat="false" ht="27.75" hidden="false" customHeight="true" outlineLevel="0" collapsed="false">
      <c r="A82" s="38"/>
      <c r="B82" s="38"/>
      <c r="C82" s="41"/>
      <c r="D82" s="39"/>
      <c r="E82" s="44"/>
      <c r="F82" s="47" t="str">
        <f aca="true">IF(D82="","",IF(OR(I82="",I82="Sent"),TODAY()-D82,""))</f>
        <v/>
      </c>
      <c r="G82" s="39"/>
      <c r="H82" s="39"/>
      <c r="I82" s="41"/>
      <c r="J82" s="39"/>
      <c r="K82" s="44"/>
      <c r="L82" s="42" t="str">
        <f aca="true">IF(D82="","",IF(AND(OR(I82="Won",I82="Lost"),J82=""),"Add the decision date",IF(I82="Won","Won – book the work in",IF(NOT(OR(I82="",I82="Sent")),"Closed – note why in Notes",IF(G82="",IF(F82&gt;=Lists!$N$6,"Chase now (1st chase)","Wait – 1st chase on "&amp;TEXT(D82+Lists!$N$6,"dd/mm/yyyy")),IF(H82="",IF(TODAY()-G82&gt;=Lists!$N$6,"Chase again (2nd chase)","Wait – 2nd chase on "&amp;TEXT(G82+Lists!$N$6,"dd/mm/yyyy")),"Call them, then mark Won, Lost or Expired"))))))</f>
        <v/>
      </c>
      <c r="M82" s="38"/>
      <c r="N82" s="42" t="n">
        <f aca="false">IF(I82="Won",IF(K82&lt;&gt;"",K82,N(E82)),0)</f>
        <v>0</v>
      </c>
      <c r="O82" s="42" t="str">
        <f aca="false">IF(ISNUMBER(F82),IF(F82&gt;Lists!$N$6,D82+ROW()/100000,""),"")</f>
        <v/>
      </c>
    </row>
    <row r="83" customFormat="false" ht="27.75" hidden="false" customHeight="true" outlineLevel="0" collapsed="false">
      <c r="A83" s="38"/>
      <c r="B83" s="38"/>
      <c r="C83" s="41"/>
      <c r="D83" s="39"/>
      <c r="E83" s="44"/>
      <c r="F83" s="47" t="str">
        <f aca="true">IF(D83="","",IF(OR(I83="",I83="Sent"),TODAY()-D83,""))</f>
        <v/>
      </c>
      <c r="G83" s="39"/>
      <c r="H83" s="39"/>
      <c r="I83" s="41"/>
      <c r="J83" s="39"/>
      <c r="K83" s="44"/>
      <c r="L83" s="42" t="str">
        <f aca="true">IF(D83="","",IF(AND(OR(I83="Won",I83="Lost"),J83=""),"Add the decision date",IF(I83="Won","Won – book the work in",IF(NOT(OR(I83="",I83="Sent")),"Closed – note why in Notes",IF(G83="",IF(F83&gt;=Lists!$N$6,"Chase now (1st chase)","Wait – 1st chase on "&amp;TEXT(D83+Lists!$N$6,"dd/mm/yyyy")),IF(H83="",IF(TODAY()-G83&gt;=Lists!$N$6,"Chase again (2nd chase)","Wait – 2nd chase on "&amp;TEXT(G83+Lists!$N$6,"dd/mm/yyyy")),"Call them, then mark Won, Lost or Expired"))))))</f>
        <v/>
      </c>
      <c r="M83" s="38"/>
      <c r="N83" s="42" t="n">
        <f aca="false">IF(I83="Won",IF(K83&lt;&gt;"",K83,N(E83)),0)</f>
        <v>0</v>
      </c>
      <c r="O83" s="42" t="str">
        <f aca="false">IF(ISNUMBER(F83),IF(F83&gt;Lists!$N$6,D83+ROW()/100000,""),"")</f>
        <v/>
      </c>
    </row>
    <row r="84" customFormat="false" ht="27.75" hidden="false" customHeight="true" outlineLevel="0" collapsed="false">
      <c r="A84" s="38"/>
      <c r="B84" s="38"/>
      <c r="C84" s="41"/>
      <c r="D84" s="39"/>
      <c r="E84" s="44"/>
      <c r="F84" s="47" t="str">
        <f aca="true">IF(D84="","",IF(OR(I84="",I84="Sent"),TODAY()-D84,""))</f>
        <v/>
      </c>
      <c r="G84" s="39"/>
      <c r="H84" s="39"/>
      <c r="I84" s="41"/>
      <c r="J84" s="39"/>
      <c r="K84" s="44"/>
      <c r="L84" s="42" t="str">
        <f aca="true">IF(D84="","",IF(AND(OR(I84="Won",I84="Lost"),J84=""),"Add the decision date",IF(I84="Won","Won – book the work in",IF(NOT(OR(I84="",I84="Sent")),"Closed – note why in Notes",IF(G84="",IF(F84&gt;=Lists!$N$6,"Chase now (1st chase)","Wait – 1st chase on "&amp;TEXT(D84+Lists!$N$6,"dd/mm/yyyy")),IF(H84="",IF(TODAY()-G84&gt;=Lists!$N$6,"Chase again (2nd chase)","Wait – 2nd chase on "&amp;TEXT(G84+Lists!$N$6,"dd/mm/yyyy")),"Call them, then mark Won, Lost or Expired"))))))</f>
        <v/>
      </c>
      <c r="M84" s="38"/>
      <c r="N84" s="42" t="n">
        <f aca="false">IF(I84="Won",IF(K84&lt;&gt;"",K84,N(E84)),0)</f>
        <v>0</v>
      </c>
      <c r="O84" s="42" t="str">
        <f aca="false">IF(ISNUMBER(F84),IF(F84&gt;Lists!$N$6,D84+ROW()/100000,""),"")</f>
        <v/>
      </c>
    </row>
    <row r="85" customFormat="false" ht="27.75" hidden="false" customHeight="true" outlineLevel="0" collapsed="false">
      <c r="A85" s="38"/>
      <c r="B85" s="38"/>
      <c r="C85" s="41"/>
      <c r="D85" s="39"/>
      <c r="E85" s="44"/>
      <c r="F85" s="47" t="str">
        <f aca="true">IF(D85="","",IF(OR(I85="",I85="Sent"),TODAY()-D85,""))</f>
        <v/>
      </c>
      <c r="G85" s="39"/>
      <c r="H85" s="39"/>
      <c r="I85" s="41"/>
      <c r="J85" s="39"/>
      <c r="K85" s="44"/>
      <c r="L85" s="42" t="str">
        <f aca="true">IF(D85="","",IF(AND(OR(I85="Won",I85="Lost"),J85=""),"Add the decision date",IF(I85="Won","Won – book the work in",IF(NOT(OR(I85="",I85="Sent")),"Closed – note why in Notes",IF(G85="",IF(F85&gt;=Lists!$N$6,"Chase now (1st chase)","Wait – 1st chase on "&amp;TEXT(D85+Lists!$N$6,"dd/mm/yyyy")),IF(H85="",IF(TODAY()-G85&gt;=Lists!$N$6,"Chase again (2nd chase)","Wait – 2nd chase on "&amp;TEXT(G85+Lists!$N$6,"dd/mm/yyyy")),"Call them, then mark Won, Lost or Expired"))))))</f>
        <v/>
      </c>
      <c r="M85" s="38"/>
      <c r="N85" s="42" t="n">
        <f aca="false">IF(I85="Won",IF(K85&lt;&gt;"",K85,N(E85)),0)</f>
        <v>0</v>
      </c>
      <c r="O85" s="42" t="str">
        <f aca="false">IF(ISNUMBER(F85),IF(F85&gt;Lists!$N$6,D85+ROW()/100000,""),"")</f>
        <v/>
      </c>
    </row>
    <row r="86" customFormat="false" ht="27.75" hidden="false" customHeight="true" outlineLevel="0" collapsed="false">
      <c r="A86" s="38"/>
      <c r="B86" s="38"/>
      <c r="C86" s="41"/>
      <c r="D86" s="39"/>
      <c r="E86" s="44"/>
      <c r="F86" s="47" t="str">
        <f aca="true">IF(D86="","",IF(OR(I86="",I86="Sent"),TODAY()-D86,""))</f>
        <v/>
      </c>
      <c r="G86" s="39"/>
      <c r="H86" s="39"/>
      <c r="I86" s="41"/>
      <c r="J86" s="39"/>
      <c r="K86" s="44"/>
      <c r="L86" s="42" t="str">
        <f aca="true">IF(D86="","",IF(AND(OR(I86="Won",I86="Lost"),J86=""),"Add the decision date",IF(I86="Won","Won – book the work in",IF(NOT(OR(I86="",I86="Sent")),"Closed – note why in Notes",IF(G86="",IF(F86&gt;=Lists!$N$6,"Chase now (1st chase)","Wait – 1st chase on "&amp;TEXT(D86+Lists!$N$6,"dd/mm/yyyy")),IF(H86="",IF(TODAY()-G86&gt;=Lists!$N$6,"Chase again (2nd chase)","Wait – 2nd chase on "&amp;TEXT(G86+Lists!$N$6,"dd/mm/yyyy")),"Call them, then mark Won, Lost or Expired"))))))</f>
        <v/>
      </c>
      <c r="M86" s="38"/>
      <c r="N86" s="42" t="n">
        <f aca="false">IF(I86="Won",IF(K86&lt;&gt;"",K86,N(E86)),0)</f>
        <v>0</v>
      </c>
      <c r="O86" s="42" t="str">
        <f aca="false">IF(ISNUMBER(F86),IF(F86&gt;Lists!$N$6,D86+ROW()/100000,""),"")</f>
        <v/>
      </c>
    </row>
    <row r="87" customFormat="false" ht="27.75" hidden="false" customHeight="true" outlineLevel="0" collapsed="false">
      <c r="A87" s="38"/>
      <c r="B87" s="38"/>
      <c r="C87" s="41"/>
      <c r="D87" s="39"/>
      <c r="E87" s="44"/>
      <c r="F87" s="47" t="str">
        <f aca="true">IF(D87="","",IF(OR(I87="",I87="Sent"),TODAY()-D87,""))</f>
        <v/>
      </c>
      <c r="G87" s="39"/>
      <c r="H87" s="39"/>
      <c r="I87" s="41"/>
      <c r="J87" s="39"/>
      <c r="K87" s="44"/>
      <c r="L87" s="42" t="str">
        <f aca="true">IF(D87="","",IF(AND(OR(I87="Won",I87="Lost"),J87=""),"Add the decision date",IF(I87="Won","Won – book the work in",IF(NOT(OR(I87="",I87="Sent")),"Closed – note why in Notes",IF(G87="",IF(F87&gt;=Lists!$N$6,"Chase now (1st chase)","Wait – 1st chase on "&amp;TEXT(D87+Lists!$N$6,"dd/mm/yyyy")),IF(H87="",IF(TODAY()-G87&gt;=Lists!$N$6,"Chase again (2nd chase)","Wait – 2nd chase on "&amp;TEXT(G87+Lists!$N$6,"dd/mm/yyyy")),"Call them, then mark Won, Lost or Expired"))))))</f>
        <v/>
      </c>
      <c r="M87" s="38"/>
      <c r="N87" s="42" t="n">
        <f aca="false">IF(I87="Won",IF(K87&lt;&gt;"",K87,N(E87)),0)</f>
        <v>0</v>
      </c>
      <c r="O87" s="42" t="str">
        <f aca="false">IF(ISNUMBER(F87),IF(F87&gt;Lists!$N$6,D87+ROW()/100000,""),"")</f>
        <v/>
      </c>
    </row>
    <row r="88" customFormat="false" ht="27.75" hidden="false" customHeight="true" outlineLevel="0" collapsed="false">
      <c r="A88" s="38"/>
      <c r="B88" s="38"/>
      <c r="C88" s="41"/>
      <c r="D88" s="39"/>
      <c r="E88" s="44"/>
      <c r="F88" s="47" t="str">
        <f aca="true">IF(D88="","",IF(OR(I88="",I88="Sent"),TODAY()-D88,""))</f>
        <v/>
      </c>
      <c r="G88" s="39"/>
      <c r="H88" s="39"/>
      <c r="I88" s="41"/>
      <c r="J88" s="39"/>
      <c r="K88" s="44"/>
      <c r="L88" s="42" t="str">
        <f aca="true">IF(D88="","",IF(AND(OR(I88="Won",I88="Lost"),J88=""),"Add the decision date",IF(I88="Won","Won – book the work in",IF(NOT(OR(I88="",I88="Sent")),"Closed – note why in Notes",IF(G88="",IF(F88&gt;=Lists!$N$6,"Chase now (1st chase)","Wait – 1st chase on "&amp;TEXT(D88+Lists!$N$6,"dd/mm/yyyy")),IF(H88="",IF(TODAY()-G88&gt;=Lists!$N$6,"Chase again (2nd chase)","Wait – 2nd chase on "&amp;TEXT(G88+Lists!$N$6,"dd/mm/yyyy")),"Call them, then mark Won, Lost or Expired"))))))</f>
        <v/>
      </c>
      <c r="M88" s="38"/>
      <c r="N88" s="42" t="n">
        <f aca="false">IF(I88="Won",IF(K88&lt;&gt;"",K88,N(E88)),0)</f>
        <v>0</v>
      </c>
      <c r="O88" s="42" t="str">
        <f aca="false">IF(ISNUMBER(F88),IF(F88&gt;Lists!$N$6,D88+ROW()/100000,""),"")</f>
        <v/>
      </c>
    </row>
    <row r="89" customFormat="false" ht="27.75" hidden="false" customHeight="true" outlineLevel="0" collapsed="false">
      <c r="A89" s="38"/>
      <c r="B89" s="38"/>
      <c r="C89" s="41"/>
      <c r="D89" s="39"/>
      <c r="E89" s="44"/>
      <c r="F89" s="47" t="str">
        <f aca="true">IF(D89="","",IF(OR(I89="",I89="Sent"),TODAY()-D89,""))</f>
        <v/>
      </c>
      <c r="G89" s="39"/>
      <c r="H89" s="39"/>
      <c r="I89" s="41"/>
      <c r="J89" s="39"/>
      <c r="K89" s="44"/>
      <c r="L89" s="42" t="str">
        <f aca="true">IF(D89="","",IF(AND(OR(I89="Won",I89="Lost"),J89=""),"Add the decision date",IF(I89="Won","Won – book the work in",IF(NOT(OR(I89="",I89="Sent")),"Closed – note why in Notes",IF(G89="",IF(F89&gt;=Lists!$N$6,"Chase now (1st chase)","Wait – 1st chase on "&amp;TEXT(D89+Lists!$N$6,"dd/mm/yyyy")),IF(H89="",IF(TODAY()-G89&gt;=Lists!$N$6,"Chase again (2nd chase)","Wait – 2nd chase on "&amp;TEXT(G89+Lists!$N$6,"dd/mm/yyyy")),"Call them, then mark Won, Lost or Expired"))))))</f>
        <v/>
      </c>
      <c r="M89" s="38"/>
      <c r="N89" s="42" t="n">
        <f aca="false">IF(I89="Won",IF(K89&lt;&gt;"",K89,N(E89)),0)</f>
        <v>0</v>
      </c>
      <c r="O89" s="42" t="str">
        <f aca="false">IF(ISNUMBER(F89),IF(F89&gt;Lists!$N$6,D89+ROW()/100000,""),"")</f>
        <v/>
      </c>
    </row>
    <row r="90" customFormat="false" ht="27.75" hidden="false" customHeight="true" outlineLevel="0" collapsed="false">
      <c r="A90" s="38"/>
      <c r="B90" s="38"/>
      <c r="C90" s="41"/>
      <c r="D90" s="39"/>
      <c r="E90" s="44"/>
      <c r="F90" s="47" t="str">
        <f aca="true">IF(D90="","",IF(OR(I90="",I90="Sent"),TODAY()-D90,""))</f>
        <v/>
      </c>
      <c r="G90" s="39"/>
      <c r="H90" s="39"/>
      <c r="I90" s="41"/>
      <c r="J90" s="39"/>
      <c r="K90" s="44"/>
      <c r="L90" s="42" t="str">
        <f aca="true">IF(D90="","",IF(AND(OR(I90="Won",I90="Lost"),J90=""),"Add the decision date",IF(I90="Won","Won – book the work in",IF(NOT(OR(I90="",I90="Sent")),"Closed – note why in Notes",IF(G90="",IF(F90&gt;=Lists!$N$6,"Chase now (1st chase)","Wait – 1st chase on "&amp;TEXT(D90+Lists!$N$6,"dd/mm/yyyy")),IF(H90="",IF(TODAY()-G90&gt;=Lists!$N$6,"Chase again (2nd chase)","Wait – 2nd chase on "&amp;TEXT(G90+Lists!$N$6,"dd/mm/yyyy")),"Call them, then mark Won, Lost or Expired"))))))</f>
        <v/>
      </c>
      <c r="M90" s="38"/>
      <c r="N90" s="42" t="n">
        <f aca="false">IF(I90="Won",IF(K90&lt;&gt;"",K90,N(E90)),0)</f>
        <v>0</v>
      </c>
      <c r="O90" s="42" t="str">
        <f aca="false">IF(ISNUMBER(F90),IF(F90&gt;Lists!$N$6,D90+ROW()/100000,""),"")</f>
        <v/>
      </c>
    </row>
    <row r="91" customFormat="false" ht="27.75" hidden="false" customHeight="true" outlineLevel="0" collapsed="false">
      <c r="A91" s="38"/>
      <c r="B91" s="38"/>
      <c r="C91" s="41"/>
      <c r="D91" s="39"/>
      <c r="E91" s="44"/>
      <c r="F91" s="47" t="str">
        <f aca="true">IF(D91="","",IF(OR(I91="",I91="Sent"),TODAY()-D91,""))</f>
        <v/>
      </c>
      <c r="G91" s="39"/>
      <c r="H91" s="39"/>
      <c r="I91" s="41"/>
      <c r="J91" s="39"/>
      <c r="K91" s="44"/>
      <c r="L91" s="42" t="str">
        <f aca="true">IF(D91="","",IF(AND(OR(I91="Won",I91="Lost"),J91=""),"Add the decision date",IF(I91="Won","Won – book the work in",IF(NOT(OR(I91="",I91="Sent")),"Closed – note why in Notes",IF(G91="",IF(F91&gt;=Lists!$N$6,"Chase now (1st chase)","Wait – 1st chase on "&amp;TEXT(D91+Lists!$N$6,"dd/mm/yyyy")),IF(H91="",IF(TODAY()-G91&gt;=Lists!$N$6,"Chase again (2nd chase)","Wait – 2nd chase on "&amp;TEXT(G91+Lists!$N$6,"dd/mm/yyyy")),"Call them, then mark Won, Lost or Expired"))))))</f>
        <v/>
      </c>
      <c r="M91" s="38"/>
      <c r="N91" s="42" t="n">
        <f aca="false">IF(I91="Won",IF(K91&lt;&gt;"",K91,N(E91)),0)</f>
        <v>0</v>
      </c>
      <c r="O91" s="42" t="str">
        <f aca="false">IF(ISNUMBER(F91),IF(F91&gt;Lists!$N$6,D91+ROW()/100000,""),"")</f>
        <v/>
      </c>
    </row>
    <row r="92" customFormat="false" ht="27.75" hidden="false" customHeight="true" outlineLevel="0" collapsed="false">
      <c r="A92" s="38"/>
      <c r="B92" s="38"/>
      <c r="C92" s="41"/>
      <c r="D92" s="39"/>
      <c r="E92" s="44"/>
      <c r="F92" s="47" t="str">
        <f aca="true">IF(D92="","",IF(OR(I92="",I92="Sent"),TODAY()-D92,""))</f>
        <v/>
      </c>
      <c r="G92" s="39"/>
      <c r="H92" s="39"/>
      <c r="I92" s="41"/>
      <c r="J92" s="39"/>
      <c r="K92" s="44"/>
      <c r="L92" s="42" t="str">
        <f aca="true">IF(D92="","",IF(AND(OR(I92="Won",I92="Lost"),J92=""),"Add the decision date",IF(I92="Won","Won – book the work in",IF(NOT(OR(I92="",I92="Sent")),"Closed – note why in Notes",IF(G92="",IF(F92&gt;=Lists!$N$6,"Chase now (1st chase)","Wait – 1st chase on "&amp;TEXT(D92+Lists!$N$6,"dd/mm/yyyy")),IF(H92="",IF(TODAY()-G92&gt;=Lists!$N$6,"Chase again (2nd chase)","Wait – 2nd chase on "&amp;TEXT(G92+Lists!$N$6,"dd/mm/yyyy")),"Call them, then mark Won, Lost or Expired"))))))</f>
        <v/>
      </c>
      <c r="M92" s="38"/>
      <c r="N92" s="42" t="n">
        <f aca="false">IF(I92="Won",IF(K92&lt;&gt;"",K92,N(E92)),0)</f>
        <v>0</v>
      </c>
      <c r="O92" s="42" t="str">
        <f aca="false">IF(ISNUMBER(F92),IF(F92&gt;Lists!$N$6,D92+ROW()/100000,""),"")</f>
        <v/>
      </c>
    </row>
    <row r="93" customFormat="false" ht="27.75" hidden="false" customHeight="true" outlineLevel="0" collapsed="false">
      <c r="A93" s="38"/>
      <c r="B93" s="38"/>
      <c r="C93" s="41"/>
      <c r="D93" s="39"/>
      <c r="E93" s="44"/>
      <c r="F93" s="47" t="str">
        <f aca="true">IF(D93="","",IF(OR(I93="",I93="Sent"),TODAY()-D93,""))</f>
        <v/>
      </c>
      <c r="G93" s="39"/>
      <c r="H93" s="39"/>
      <c r="I93" s="41"/>
      <c r="J93" s="39"/>
      <c r="K93" s="44"/>
      <c r="L93" s="42" t="str">
        <f aca="true">IF(D93="","",IF(AND(OR(I93="Won",I93="Lost"),J93=""),"Add the decision date",IF(I93="Won","Won – book the work in",IF(NOT(OR(I93="",I93="Sent")),"Closed – note why in Notes",IF(G93="",IF(F93&gt;=Lists!$N$6,"Chase now (1st chase)","Wait – 1st chase on "&amp;TEXT(D93+Lists!$N$6,"dd/mm/yyyy")),IF(H93="",IF(TODAY()-G93&gt;=Lists!$N$6,"Chase again (2nd chase)","Wait – 2nd chase on "&amp;TEXT(G93+Lists!$N$6,"dd/mm/yyyy")),"Call them, then mark Won, Lost or Expired"))))))</f>
        <v/>
      </c>
      <c r="M93" s="38"/>
      <c r="N93" s="42" t="n">
        <f aca="false">IF(I93="Won",IF(K93&lt;&gt;"",K93,N(E93)),0)</f>
        <v>0</v>
      </c>
      <c r="O93" s="42" t="str">
        <f aca="false">IF(ISNUMBER(F93),IF(F93&gt;Lists!$N$6,D93+ROW()/100000,""),"")</f>
        <v/>
      </c>
    </row>
    <row r="94" customFormat="false" ht="27.75" hidden="false" customHeight="true" outlineLevel="0" collapsed="false">
      <c r="A94" s="38"/>
      <c r="B94" s="38"/>
      <c r="C94" s="41"/>
      <c r="D94" s="39"/>
      <c r="E94" s="44"/>
      <c r="F94" s="47" t="str">
        <f aca="true">IF(D94="","",IF(OR(I94="",I94="Sent"),TODAY()-D94,""))</f>
        <v/>
      </c>
      <c r="G94" s="39"/>
      <c r="H94" s="39"/>
      <c r="I94" s="41"/>
      <c r="J94" s="39"/>
      <c r="K94" s="44"/>
      <c r="L94" s="42" t="str">
        <f aca="true">IF(D94="","",IF(AND(OR(I94="Won",I94="Lost"),J94=""),"Add the decision date",IF(I94="Won","Won – book the work in",IF(NOT(OR(I94="",I94="Sent")),"Closed – note why in Notes",IF(G94="",IF(F94&gt;=Lists!$N$6,"Chase now (1st chase)","Wait – 1st chase on "&amp;TEXT(D94+Lists!$N$6,"dd/mm/yyyy")),IF(H94="",IF(TODAY()-G94&gt;=Lists!$N$6,"Chase again (2nd chase)","Wait – 2nd chase on "&amp;TEXT(G94+Lists!$N$6,"dd/mm/yyyy")),"Call them, then mark Won, Lost or Expired"))))))</f>
        <v/>
      </c>
      <c r="M94" s="38"/>
      <c r="N94" s="42" t="n">
        <f aca="false">IF(I94="Won",IF(K94&lt;&gt;"",K94,N(E94)),0)</f>
        <v>0</v>
      </c>
      <c r="O94" s="42" t="str">
        <f aca="false">IF(ISNUMBER(F94),IF(F94&gt;Lists!$N$6,D94+ROW()/100000,""),"")</f>
        <v/>
      </c>
    </row>
    <row r="95" customFormat="false" ht="27.75" hidden="false" customHeight="true" outlineLevel="0" collapsed="false">
      <c r="A95" s="38"/>
      <c r="B95" s="38"/>
      <c r="C95" s="41"/>
      <c r="D95" s="39"/>
      <c r="E95" s="44"/>
      <c r="F95" s="47" t="str">
        <f aca="true">IF(D95="","",IF(OR(I95="",I95="Sent"),TODAY()-D95,""))</f>
        <v/>
      </c>
      <c r="G95" s="39"/>
      <c r="H95" s="39"/>
      <c r="I95" s="41"/>
      <c r="J95" s="39"/>
      <c r="K95" s="44"/>
      <c r="L95" s="42" t="str">
        <f aca="true">IF(D95="","",IF(AND(OR(I95="Won",I95="Lost"),J95=""),"Add the decision date",IF(I95="Won","Won – book the work in",IF(NOT(OR(I95="",I95="Sent")),"Closed – note why in Notes",IF(G95="",IF(F95&gt;=Lists!$N$6,"Chase now (1st chase)","Wait – 1st chase on "&amp;TEXT(D95+Lists!$N$6,"dd/mm/yyyy")),IF(H95="",IF(TODAY()-G95&gt;=Lists!$N$6,"Chase again (2nd chase)","Wait – 2nd chase on "&amp;TEXT(G95+Lists!$N$6,"dd/mm/yyyy")),"Call them, then mark Won, Lost or Expired"))))))</f>
        <v/>
      </c>
      <c r="M95" s="38"/>
      <c r="N95" s="42" t="n">
        <f aca="false">IF(I95="Won",IF(K95&lt;&gt;"",K95,N(E95)),0)</f>
        <v>0</v>
      </c>
      <c r="O95" s="42" t="str">
        <f aca="false">IF(ISNUMBER(F95),IF(F95&gt;Lists!$N$6,D95+ROW()/100000,""),"")</f>
        <v/>
      </c>
    </row>
    <row r="96" customFormat="false" ht="27.75" hidden="false" customHeight="true" outlineLevel="0" collapsed="false">
      <c r="A96" s="38"/>
      <c r="B96" s="38"/>
      <c r="C96" s="41"/>
      <c r="D96" s="39"/>
      <c r="E96" s="44"/>
      <c r="F96" s="47" t="str">
        <f aca="true">IF(D96="","",IF(OR(I96="",I96="Sent"),TODAY()-D96,""))</f>
        <v/>
      </c>
      <c r="G96" s="39"/>
      <c r="H96" s="39"/>
      <c r="I96" s="41"/>
      <c r="J96" s="39"/>
      <c r="K96" s="44"/>
      <c r="L96" s="42" t="str">
        <f aca="true">IF(D96="","",IF(AND(OR(I96="Won",I96="Lost"),J96=""),"Add the decision date",IF(I96="Won","Won – book the work in",IF(NOT(OR(I96="",I96="Sent")),"Closed – note why in Notes",IF(G96="",IF(F96&gt;=Lists!$N$6,"Chase now (1st chase)","Wait – 1st chase on "&amp;TEXT(D96+Lists!$N$6,"dd/mm/yyyy")),IF(H96="",IF(TODAY()-G96&gt;=Lists!$N$6,"Chase again (2nd chase)","Wait – 2nd chase on "&amp;TEXT(G96+Lists!$N$6,"dd/mm/yyyy")),"Call them, then mark Won, Lost or Expired"))))))</f>
        <v/>
      </c>
      <c r="M96" s="38"/>
      <c r="N96" s="42" t="n">
        <f aca="false">IF(I96="Won",IF(K96&lt;&gt;"",K96,N(E96)),0)</f>
        <v>0</v>
      </c>
      <c r="O96" s="42" t="str">
        <f aca="false">IF(ISNUMBER(F96),IF(F96&gt;Lists!$N$6,D96+ROW()/100000,""),"")</f>
        <v/>
      </c>
    </row>
    <row r="97" customFormat="false" ht="27.75" hidden="false" customHeight="true" outlineLevel="0" collapsed="false">
      <c r="A97" s="38"/>
      <c r="B97" s="38"/>
      <c r="C97" s="41"/>
      <c r="D97" s="39"/>
      <c r="E97" s="44"/>
      <c r="F97" s="47" t="str">
        <f aca="true">IF(D97="","",IF(OR(I97="",I97="Sent"),TODAY()-D97,""))</f>
        <v/>
      </c>
      <c r="G97" s="39"/>
      <c r="H97" s="39"/>
      <c r="I97" s="41"/>
      <c r="J97" s="39"/>
      <c r="K97" s="44"/>
      <c r="L97" s="42" t="str">
        <f aca="true">IF(D97="","",IF(AND(OR(I97="Won",I97="Lost"),J97=""),"Add the decision date",IF(I97="Won","Won – book the work in",IF(NOT(OR(I97="",I97="Sent")),"Closed – note why in Notes",IF(G97="",IF(F97&gt;=Lists!$N$6,"Chase now (1st chase)","Wait – 1st chase on "&amp;TEXT(D97+Lists!$N$6,"dd/mm/yyyy")),IF(H97="",IF(TODAY()-G97&gt;=Lists!$N$6,"Chase again (2nd chase)","Wait – 2nd chase on "&amp;TEXT(G97+Lists!$N$6,"dd/mm/yyyy")),"Call them, then mark Won, Lost or Expired"))))))</f>
        <v/>
      </c>
      <c r="M97" s="38"/>
      <c r="N97" s="42" t="n">
        <f aca="false">IF(I97="Won",IF(K97&lt;&gt;"",K97,N(E97)),0)</f>
        <v>0</v>
      </c>
      <c r="O97" s="42" t="str">
        <f aca="false">IF(ISNUMBER(F97),IF(F97&gt;Lists!$N$6,D97+ROW()/100000,""),"")</f>
        <v/>
      </c>
    </row>
    <row r="98" customFormat="false" ht="27.75" hidden="false" customHeight="true" outlineLevel="0" collapsed="false">
      <c r="A98" s="38"/>
      <c r="B98" s="38"/>
      <c r="C98" s="41"/>
      <c r="D98" s="39"/>
      <c r="E98" s="44"/>
      <c r="F98" s="47" t="str">
        <f aca="true">IF(D98="","",IF(OR(I98="",I98="Sent"),TODAY()-D98,""))</f>
        <v/>
      </c>
      <c r="G98" s="39"/>
      <c r="H98" s="39"/>
      <c r="I98" s="41"/>
      <c r="J98" s="39"/>
      <c r="K98" s="44"/>
      <c r="L98" s="42" t="str">
        <f aca="true">IF(D98="","",IF(AND(OR(I98="Won",I98="Lost"),J98=""),"Add the decision date",IF(I98="Won","Won – book the work in",IF(NOT(OR(I98="",I98="Sent")),"Closed – note why in Notes",IF(G98="",IF(F98&gt;=Lists!$N$6,"Chase now (1st chase)","Wait – 1st chase on "&amp;TEXT(D98+Lists!$N$6,"dd/mm/yyyy")),IF(H98="",IF(TODAY()-G98&gt;=Lists!$N$6,"Chase again (2nd chase)","Wait – 2nd chase on "&amp;TEXT(G98+Lists!$N$6,"dd/mm/yyyy")),"Call them, then mark Won, Lost or Expired"))))))</f>
        <v/>
      </c>
      <c r="M98" s="38"/>
      <c r="N98" s="42" t="n">
        <f aca="false">IF(I98="Won",IF(K98&lt;&gt;"",K98,N(E98)),0)</f>
        <v>0</v>
      </c>
      <c r="O98" s="42" t="str">
        <f aca="false">IF(ISNUMBER(F98),IF(F98&gt;Lists!$N$6,D98+ROW()/100000,""),"")</f>
        <v/>
      </c>
    </row>
    <row r="99" customFormat="false" ht="27.75" hidden="false" customHeight="true" outlineLevel="0" collapsed="false">
      <c r="A99" s="38"/>
      <c r="B99" s="38"/>
      <c r="C99" s="41"/>
      <c r="D99" s="39"/>
      <c r="E99" s="44"/>
      <c r="F99" s="47" t="str">
        <f aca="true">IF(D99="","",IF(OR(I99="",I99="Sent"),TODAY()-D99,""))</f>
        <v/>
      </c>
      <c r="G99" s="39"/>
      <c r="H99" s="39"/>
      <c r="I99" s="41"/>
      <c r="J99" s="39"/>
      <c r="K99" s="44"/>
      <c r="L99" s="42" t="str">
        <f aca="true">IF(D99="","",IF(AND(OR(I99="Won",I99="Lost"),J99=""),"Add the decision date",IF(I99="Won","Won – book the work in",IF(NOT(OR(I99="",I99="Sent")),"Closed – note why in Notes",IF(G99="",IF(F99&gt;=Lists!$N$6,"Chase now (1st chase)","Wait – 1st chase on "&amp;TEXT(D99+Lists!$N$6,"dd/mm/yyyy")),IF(H99="",IF(TODAY()-G99&gt;=Lists!$N$6,"Chase again (2nd chase)","Wait – 2nd chase on "&amp;TEXT(G99+Lists!$N$6,"dd/mm/yyyy")),"Call them, then mark Won, Lost or Expired"))))))</f>
        <v/>
      </c>
      <c r="M99" s="38"/>
      <c r="N99" s="42" t="n">
        <f aca="false">IF(I99="Won",IF(K99&lt;&gt;"",K99,N(E99)),0)</f>
        <v>0</v>
      </c>
      <c r="O99" s="42" t="str">
        <f aca="false">IF(ISNUMBER(F99),IF(F99&gt;Lists!$N$6,D99+ROW()/100000,""),"")</f>
        <v/>
      </c>
    </row>
    <row r="100" customFormat="false" ht="27.75" hidden="false" customHeight="true" outlineLevel="0" collapsed="false">
      <c r="A100" s="38"/>
      <c r="B100" s="38"/>
      <c r="C100" s="41"/>
      <c r="D100" s="39"/>
      <c r="E100" s="44"/>
      <c r="F100" s="47" t="str">
        <f aca="true">IF(D100="","",IF(OR(I100="",I100="Sent"),TODAY()-D100,""))</f>
        <v/>
      </c>
      <c r="G100" s="39"/>
      <c r="H100" s="39"/>
      <c r="I100" s="41"/>
      <c r="J100" s="39"/>
      <c r="K100" s="44"/>
      <c r="L100" s="42" t="str">
        <f aca="true">IF(D100="","",IF(AND(OR(I100="Won",I100="Lost"),J100=""),"Add the decision date",IF(I100="Won","Won – book the work in",IF(NOT(OR(I100="",I100="Sent")),"Closed – note why in Notes",IF(G100="",IF(F100&gt;=Lists!$N$6,"Chase now (1st chase)","Wait – 1st chase on "&amp;TEXT(D100+Lists!$N$6,"dd/mm/yyyy")),IF(H100="",IF(TODAY()-G100&gt;=Lists!$N$6,"Chase again (2nd chase)","Wait – 2nd chase on "&amp;TEXT(G100+Lists!$N$6,"dd/mm/yyyy")),"Call them, then mark Won, Lost or Expired"))))))</f>
        <v/>
      </c>
      <c r="M100" s="38"/>
      <c r="N100" s="42" t="n">
        <f aca="false">IF(I100="Won",IF(K100&lt;&gt;"",K100,N(E100)),0)</f>
        <v>0</v>
      </c>
      <c r="O100" s="42" t="str">
        <f aca="false">IF(ISNUMBER(F100),IF(F100&gt;Lists!$N$6,D100+ROW()/100000,""),"")</f>
        <v/>
      </c>
    </row>
    <row r="101" customFormat="false" ht="27.75" hidden="false" customHeight="true" outlineLevel="0" collapsed="false">
      <c r="A101" s="38"/>
      <c r="B101" s="38"/>
      <c r="C101" s="41"/>
      <c r="D101" s="39"/>
      <c r="E101" s="44"/>
      <c r="F101" s="47" t="str">
        <f aca="true">IF(D101="","",IF(OR(I101="",I101="Sent"),TODAY()-D101,""))</f>
        <v/>
      </c>
      <c r="G101" s="39"/>
      <c r="H101" s="39"/>
      <c r="I101" s="41"/>
      <c r="J101" s="39"/>
      <c r="K101" s="44"/>
      <c r="L101" s="42" t="str">
        <f aca="true">IF(D101="","",IF(AND(OR(I101="Won",I101="Lost"),J101=""),"Add the decision date",IF(I101="Won","Won – book the work in",IF(NOT(OR(I101="",I101="Sent")),"Closed – note why in Notes",IF(G101="",IF(F101&gt;=Lists!$N$6,"Chase now (1st chase)","Wait – 1st chase on "&amp;TEXT(D101+Lists!$N$6,"dd/mm/yyyy")),IF(H101="",IF(TODAY()-G101&gt;=Lists!$N$6,"Chase again (2nd chase)","Wait – 2nd chase on "&amp;TEXT(G101+Lists!$N$6,"dd/mm/yyyy")),"Call them, then mark Won, Lost or Expired"))))))</f>
        <v/>
      </c>
      <c r="M101" s="38"/>
      <c r="N101" s="42" t="n">
        <f aca="false">IF(I101="Won",IF(K101&lt;&gt;"",K101,N(E101)),0)</f>
        <v>0</v>
      </c>
      <c r="O101" s="42" t="str">
        <f aca="false">IF(ISNUMBER(F101),IF(F101&gt;Lists!$N$6,D101+ROW()/100000,""),"")</f>
        <v/>
      </c>
    </row>
    <row r="102" customFormat="false" ht="27.75" hidden="false" customHeight="true" outlineLevel="0" collapsed="false">
      <c r="A102" s="38"/>
      <c r="B102" s="38"/>
      <c r="C102" s="41"/>
      <c r="D102" s="39"/>
      <c r="E102" s="44"/>
      <c r="F102" s="47" t="str">
        <f aca="true">IF(D102="","",IF(OR(I102="",I102="Sent"),TODAY()-D102,""))</f>
        <v/>
      </c>
      <c r="G102" s="39"/>
      <c r="H102" s="39"/>
      <c r="I102" s="41"/>
      <c r="J102" s="39"/>
      <c r="K102" s="44"/>
      <c r="L102" s="42" t="str">
        <f aca="true">IF(D102="","",IF(AND(OR(I102="Won",I102="Lost"),J102=""),"Add the decision date",IF(I102="Won","Won – book the work in",IF(NOT(OR(I102="",I102="Sent")),"Closed – note why in Notes",IF(G102="",IF(F102&gt;=Lists!$N$6,"Chase now (1st chase)","Wait – 1st chase on "&amp;TEXT(D102+Lists!$N$6,"dd/mm/yyyy")),IF(H102="",IF(TODAY()-G102&gt;=Lists!$N$6,"Chase again (2nd chase)","Wait – 2nd chase on "&amp;TEXT(G102+Lists!$N$6,"dd/mm/yyyy")),"Call them, then mark Won, Lost or Expired"))))))</f>
        <v/>
      </c>
      <c r="M102" s="38"/>
      <c r="N102" s="42" t="n">
        <f aca="false">IF(I102="Won",IF(K102&lt;&gt;"",K102,N(E102)),0)</f>
        <v>0</v>
      </c>
      <c r="O102" s="42" t="str">
        <f aca="false">IF(ISNUMBER(F102),IF(F102&gt;Lists!$N$6,D102+ROW()/100000,""),"")</f>
        <v/>
      </c>
    </row>
    <row r="103" customFormat="false" ht="27.75" hidden="false" customHeight="true" outlineLevel="0" collapsed="false">
      <c r="A103" s="38"/>
      <c r="B103" s="38"/>
      <c r="C103" s="41"/>
      <c r="D103" s="39"/>
      <c r="E103" s="44"/>
      <c r="F103" s="47" t="str">
        <f aca="true">IF(D103="","",IF(OR(I103="",I103="Sent"),TODAY()-D103,""))</f>
        <v/>
      </c>
      <c r="G103" s="39"/>
      <c r="H103" s="39"/>
      <c r="I103" s="41"/>
      <c r="J103" s="39"/>
      <c r="K103" s="44"/>
      <c r="L103" s="42" t="str">
        <f aca="true">IF(D103="","",IF(AND(OR(I103="Won",I103="Lost"),J103=""),"Add the decision date",IF(I103="Won","Won – book the work in",IF(NOT(OR(I103="",I103="Sent")),"Closed – note why in Notes",IF(G103="",IF(F103&gt;=Lists!$N$6,"Chase now (1st chase)","Wait – 1st chase on "&amp;TEXT(D103+Lists!$N$6,"dd/mm/yyyy")),IF(H103="",IF(TODAY()-G103&gt;=Lists!$N$6,"Chase again (2nd chase)","Wait – 2nd chase on "&amp;TEXT(G103+Lists!$N$6,"dd/mm/yyyy")),"Call them, then mark Won, Lost or Expired"))))))</f>
        <v/>
      </c>
      <c r="M103" s="38"/>
      <c r="N103" s="42" t="n">
        <f aca="false">IF(I103="Won",IF(K103&lt;&gt;"",K103,N(E103)),0)</f>
        <v>0</v>
      </c>
      <c r="O103" s="42" t="str">
        <f aca="false">IF(ISNUMBER(F103),IF(F103&gt;Lists!$N$6,D103+ROW()/100000,""),"")</f>
        <v/>
      </c>
    </row>
    <row r="104" customFormat="false" ht="27.75" hidden="false" customHeight="true" outlineLevel="0" collapsed="false">
      <c r="A104" s="38"/>
      <c r="B104" s="38"/>
      <c r="C104" s="41"/>
      <c r="D104" s="39"/>
      <c r="E104" s="44"/>
      <c r="F104" s="47" t="str">
        <f aca="true">IF(D104="","",IF(OR(I104="",I104="Sent"),TODAY()-D104,""))</f>
        <v/>
      </c>
      <c r="G104" s="39"/>
      <c r="H104" s="39"/>
      <c r="I104" s="41"/>
      <c r="J104" s="39"/>
      <c r="K104" s="44"/>
      <c r="L104" s="42" t="str">
        <f aca="true">IF(D104="","",IF(AND(OR(I104="Won",I104="Lost"),J104=""),"Add the decision date",IF(I104="Won","Won – book the work in",IF(NOT(OR(I104="",I104="Sent")),"Closed – note why in Notes",IF(G104="",IF(F104&gt;=Lists!$N$6,"Chase now (1st chase)","Wait – 1st chase on "&amp;TEXT(D104+Lists!$N$6,"dd/mm/yyyy")),IF(H104="",IF(TODAY()-G104&gt;=Lists!$N$6,"Chase again (2nd chase)","Wait – 2nd chase on "&amp;TEXT(G104+Lists!$N$6,"dd/mm/yyyy")),"Call them, then mark Won, Lost or Expired"))))))</f>
        <v/>
      </c>
      <c r="M104" s="38"/>
      <c r="N104" s="42" t="n">
        <f aca="false">IF(I104="Won",IF(K104&lt;&gt;"",K104,N(E104)),0)</f>
        <v>0</v>
      </c>
      <c r="O104" s="42" t="str">
        <f aca="false">IF(ISNUMBER(F104),IF(F104&gt;Lists!$N$6,D104+ROW()/100000,""),"")</f>
        <v/>
      </c>
    </row>
    <row r="105" customFormat="false" ht="27.75" hidden="false" customHeight="true" outlineLevel="0" collapsed="false">
      <c r="A105" s="38"/>
      <c r="B105" s="38"/>
      <c r="C105" s="41"/>
      <c r="D105" s="39"/>
      <c r="E105" s="44"/>
      <c r="F105" s="47" t="str">
        <f aca="true">IF(D105="","",IF(OR(I105="",I105="Sent"),TODAY()-D105,""))</f>
        <v/>
      </c>
      <c r="G105" s="39"/>
      <c r="H105" s="39"/>
      <c r="I105" s="41"/>
      <c r="J105" s="39"/>
      <c r="K105" s="44"/>
      <c r="L105" s="42" t="str">
        <f aca="true">IF(D105="","",IF(AND(OR(I105="Won",I105="Lost"),J105=""),"Add the decision date",IF(I105="Won","Won – book the work in",IF(NOT(OR(I105="",I105="Sent")),"Closed – note why in Notes",IF(G105="",IF(F105&gt;=Lists!$N$6,"Chase now (1st chase)","Wait – 1st chase on "&amp;TEXT(D105+Lists!$N$6,"dd/mm/yyyy")),IF(H105="",IF(TODAY()-G105&gt;=Lists!$N$6,"Chase again (2nd chase)","Wait – 2nd chase on "&amp;TEXT(G105+Lists!$N$6,"dd/mm/yyyy")),"Call them, then mark Won, Lost or Expired"))))))</f>
        <v/>
      </c>
      <c r="M105" s="38"/>
      <c r="N105" s="42" t="n">
        <f aca="false">IF(I105="Won",IF(K105&lt;&gt;"",K105,N(E105)),0)</f>
        <v>0</v>
      </c>
      <c r="O105" s="42" t="str">
        <f aca="false">IF(ISNUMBER(F105),IF(F105&gt;Lists!$N$6,D105+ROW()/100000,""),"")</f>
        <v/>
      </c>
    </row>
    <row r="106" customFormat="false" ht="27.75" hidden="false" customHeight="true" outlineLevel="0" collapsed="false">
      <c r="A106" s="38"/>
      <c r="B106" s="38"/>
      <c r="C106" s="41"/>
      <c r="D106" s="39"/>
      <c r="E106" s="44"/>
      <c r="F106" s="47" t="str">
        <f aca="true">IF(D106="","",IF(OR(I106="",I106="Sent"),TODAY()-D106,""))</f>
        <v/>
      </c>
      <c r="G106" s="39"/>
      <c r="H106" s="39"/>
      <c r="I106" s="41"/>
      <c r="J106" s="39"/>
      <c r="K106" s="44"/>
      <c r="L106" s="42" t="str">
        <f aca="true">IF(D106="","",IF(AND(OR(I106="Won",I106="Lost"),J106=""),"Add the decision date",IF(I106="Won","Won – book the work in",IF(NOT(OR(I106="",I106="Sent")),"Closed – note why in Notes",IF(G106="",IF(F106&gt;=Lists!$N$6,"Chase now (1st chase)","Wait – 1st chase on "&amp;TEXT(D106+Lists!$N$6,"dd/mm/yyyy")),IF(H106="",IF(TODAY()-G106&gt;=Lists!$N$6,"Chase again (2nd chase)","Wait – 2nd chase on "&amp;TEXT(G106+Lists!$N$6,"dd/mm/yyyy")),"Call them, then mark Won, Lost or Expired"))))))</f>
        <v/>
      </c>
      <c r="M106" s="38"/>
      <c r="N106" s="42" t="n">
        <f aca="false">IF(I106="Won",IF(K106&lt;&gt;"",K106,N(E106)),0)</f>
        <v>0</v>
      </c>
      <c r="O106" s="42" t="str">
        <f aca="false">IF(ISNUMBER(F106),IF(F106&gt;Lists!$N$6,D106+ROW()/100000,""),"")</f>
        <v/>
      </c>
    </row>
    <row r="107" customFormat="false" ht="27.75" hidden="false" customHeight="true" outlineLevel="0" collapsed="false">
      <c r="A107" s="38"/>
      <c r="B107" s="38"/>
      <c r="C107" s="41"/>
      <c r="D107" s="39"/>
      <c r="E107" s="44"/>
      <c r="F107" s="47" t="str">
        <f aca="true">IF(D107="","",IF(OR(I107="",I107="Sent"),TODAY()-D107,""))</f>
        <v/>
      </c>
      <c r="G107" s="39"/>
      <c r="H107" s="39"/>
      <c r="I107" s="41"/>
      <c r="J107" s="39"/>
      <c r="K107" s="44"/>
      <c r="L107" s="42" t="str">
        <f aca="true">IF(D107="","",IF(AND(OR(I107="Won",I107="Lost"),J107=""),"Add the decision date",IF(I107="Won","Won – book the work in",IF(NOT(OR(I107="",I107="Sent")),"Closed – note why in Notes",IF(G107="",IF(F107&gt;=Lists!$N$6,"Chase now (1st chase)","Wait – 1st chase on "&amp;TEXT(D107+Lists!$N$6,"dd/mm/yyyy")),IF(H107="",IF(TODAY()-G107&gt;=Lists!$N$6,"Chase again (2nd chase)","Wait – 2nd chase on "&amp;TEXT(G107+Lists!$N$6,"dd/mm/yyyy")),"Call them, then mark Won, Lost or Expired"))))))</f>
        <v/>
      </c>
      <c r="M107" s="38"/>
      <c r="N107" s="42" t="n">
        <f aca="false">IF(I107="Won",IF(K107&lt;&gt;"",K107,N(E107)),0)</f>
        <v>0</v>
      </c>
      <c r="O107" s="42" t="str">
        <f aca="false">IF(ISNUMBER(F107),IF(F107&gt;Lists!$N$6,D107+ROW()/100000,""),"")</f>
        <v/>
      </c>
    </row>
    <row r="108" customFormat="false" ht="27.75" hidden="false" customHeight="true" outlineLevel="0" collapsed="false">
      <c r="A108" s="38"/>
      <c r="B108" s="38"/>
      <c r="C108" s="41"/>
      <c r="D108" s="39"/>
      <c r="E108" s="44"/>
      <c r="F108" s="47" t="str">
        <f aca="true">IF(D108="","",IF(OR(I108="",I108="Sent"),TODAY()-D108,""))</f>
        <v/>
      </c>
      <c r="G108" s="39"/>
      <c r="H108" s="39"/>
      <c r="I108" s="41"/>
      <c r="J108" s="39"/>
      <c r="K108" s="44"/>
      <c r="L108" s="42" t="str">
        <f aca="true">IF(D108="","",IF(AND(OR(I108="Won",I108="Lost"),J108=""),"Add the decision date",IF(I108="Won","Won – book the work in",IF(NOT(OR(I108="",I108="Sent")),"Closed – note why in Notes",IF(G108="",IF(F108&gt;=Lists!$N$6,"Chase now (1st chase)","Wait – 1st chase on "&amp;TEXT(D108+Lists!$N$6,"dd/mm/yyyy")),IF(H108="",IF(TODAY()-G108&gt;=Lists!$N$6,"Chase again (2nd chase)","Wait – 2nd chase on "&amp;TEXT(G108+Lists!$N$6,"dd/mm/yyyy")),"Call them, then mark Won, Lost or Expired"))))))</f>
        <v/>
      </c>
      <c r="M108" s="38"/>
      <c r="N108" s="42" t="n">
        <f aca="false">IF(I108="Won",IF(K108&lt;&gt;"",K108,N(E108)),0)</f>
        <v>0</v>
      </c>
      <c r="O108" s="42" t="str">
        <f aca="false">IF(ISNUMBER(F108),IF(F108&gt;Lists!$N$6,D108+ROW()/100000,""),"")</f>
        <v/>
      </c>
    </row>
    <row r="109" customFormat="false" ht="27.75" hidden="false" customHeight="true" outlineLevel="0" collapsed="false">
      <c r="A109" s="38"/>
      <c r="B109" s="38"/>
      <c r="C109" s="41"/>
      <c r="D109" s="39"/>
      <c r="E109" s="44"/>
      <c r="F109" s="47" t="str">
        <f aca="true">IF(D109="","",IF(OR(I109="",I109="Sent"),TODAY()-D109,""))</f>
        <v/>
      </c>
      <c r="G109" s="39"/>
      <c r="H109" s="39"/>
      <c r="I109" s="41"/>
      <c r="J109" s="39"/>
      <c r="K109" s="44"/>
      <c r="L109" s="42" t="str">
        <f aca="true">IF(D109="","",IF(AND(OR(I109="Won",I109="Lost"),J109=""),"Add the decision date",IF(I109="Won","Won – book the work in",IF(NOT(OR(I109="",I109="Sent")),"Closed – note why in Notes",IF(G109="",IF(F109&gt;=Lists!$N$6,"Chase now (1st chase)","Wait – 1st chase on "&amp;TEXT(D109+Lists!$N$6,"dd/mm/yyyy")),IF(H109="",IF(TODAY()-G109&gt;=Lists!$N$6,"Chase again (2nd chase)","Wait – 2nd chase on "&amp;TEXT(G109+Lists!$N$6,"dd/mm/yyyy")),"Call them, then mark Won, Lost or Expired"))))))</f>
        <v/>
      </c>
      <c r="M109" s="38"/>
      <c r="N109" s="42" t="n">
        <f aca="false">IF(I109="Won",IF(K109&lt;&gt;"",K109,N(E109)),0)</f>
        <v>0</v>
      </c>
      <c r="O109" s="42" t="str">
        <f aca="false">IF(ISNUMBER(F109),IF(F109&gt;Lists!$N$6,D109+ROW()/100000,""),"")</f>
        <v/>
      </c>
    </row>
    <row r="110" customFormat="false" ht="27.75" hidden="false" customHeight="true" outlineLevel="0" collapsed="false">
      <c r="A110" s="38"/>
      <c r="B110" s="38"/>
      <c r="C110" s="41"/>
      <c r="D110" s="39"/>
      <c r="E110" s="44"/>
      <c r="F110" s="47" t="str">
        <f aca="true">IF(D110="","",IF(OR(I110="",I110="Sent"),TODAY()-D110,""))</f>
        <v/>
      </c>
      <c r="G110" s="39"/>
      <c r="H110" s="39"/>
      <c r="I110" s="41"/>
      <c r="J110" s="39"/>
      <c r="K110" s="44"/>
      <c r="L110" s="42" t="str">
        <f aca="true">IF(D110="","",IF(AND(OR(I110="Won",I110="Lost"),J110=""),"Add the decision date",IF(I110="Won","Won – book the work in",IF(NOT(OR(I110="",I110="Sent")),"Closed – note why in Notes",IF(G110="",IF(F110&gt;=Lists!$N$6,"Chase now (1st chase)","Wait – 1st chase on "&amp;TEXT(D110+Lists!$N$6,"dd/mm/yyyy")),IF(H110="",IF(TODAY()-G110&gt;=Lists!$N$6,"Chase again (2nd chase)","Wait – 2nd chase on "&amp;TEXT(G110+Lists!$N$6,"dd/mm/yyyy")),"Call them, then mark Won, Lost or Expired"))))))</f>
        <v/>
      </c>
      <c r="M110" s="38"/>
      <c r="N110" s="42" t="n">
        <f aca="false">IF(I110="Won",IF(K110&lt;&gt;"",K110,N(E110)),0)</f>
        <v>0</v>
      </c>
      <c r="O110" s="42" t="str">
        <f aca="false">IF(ISNUMBER(F110),IF(F110&gt;Lists!$N$6,D110+ROW()/100000,""),"")</f>
        <v/>
      </c>
    </row>
    <row r="111" customFormat="false" ht="27.75" hidden="false" customHeight="true" outlineLevel="0" collapsed="false">
      <c r="A111" s="38"/>
      <c r="B111" s="38"/>
      <c r="C111" s="41"/>
      <c r="D111" s="39"/>
      <c r="E111" s="44"/>
      <c r="F111" s="47" t="str">
        <f aca="true">IF(D111="","",IF(OR(I111="",I111="Sent"),TODAY()-D111,""))</f>
        <v/>
      </c>
      <c r="G111" s="39"/>
      <c r="H111" s="39"/>
      <c r="I111" s="41"/>
      <c r="J111" s="39"/>
      <c r="K111" s="44"/>
      <c r="L111" s="42" t="str">
        <f aca="true">IF(D111="","",IF(AND(OR(I111="Won",I111="Lost"),J111=""),"Add the decision date",IF(I111="Won","Won – book the work in",IF(NOT(OR(I111="",I111="Sent")),"Closed – note why in Notes",IF(G111="",IF(F111&gt;=Lists!$N$6,"Chase now (1st chase)","Wait – 1st chase on "&amp;TEXT(D111+Lists!$N$6,"dd/mm/yyyy")),IF(H111="",IF(TODAY()-G111&gt;=Lists!$N$6,"Chase again (2nd chase)","Wait – 2nd chase on "&amp;TEXT(G111+Lists!$N$6,"dd/mm/yyyy")),"Call them, then mark Won, Lost or Expired"))))))</f>
        <v/>
      </c>
      <c r="M111" s="38"/>
      <c r="N111" s="42" t="n">
        <f aca="false">IF(I111="Won",IF(K111&lt;&gt;"",K111,N(E111)),0)</f>
        <v>0</v>
      </c>
      <c r="O111" s="42" t="str">
        <f aca="false">IF(ISNUMBER(F111),IF(F111&gt;Lists!$N$6,D111+ROW()/100000,""),"")</f>
        <v/>
      </c>
    </row>
    <row r="112" customFormat="false" ht="27.75" hidden="false" customHeight="true" outlineLevel="0" collapsed="false">
      <c r="A112" s="38"/>
      <c r="B112" s="38"/>
      <c r="C112" s="41"/>
      <c r="D112" s="39"/>
      <c r="E112" s="44"/>
      <c r="F112" s="47" t="str">
        <f aca="true">IF(D112="","",IF(OR(I112="",I112="Sent"),TODAY()-D112,""))</f>
        <v/>
      </c>
      <c r="G112" s="39"/>
      <c r="H112" s="39"/>
      <c r="I112" s="41"/>
      <c r="J112" s="39"/>
      <c r="K112" s="44"/>
      <c r="L112" s="42" t="str">
        <f aca="true">IF(D112="","",IF(AND(OR(I112="Won",I112="Lost"),J112=""),"Add the decision date",IF(I112="Won","Won – book the work in",IF(NOT(OR(I112="",I112="Sent")),"Closed – note why in Notes",IF(G112="",IF(F112&gt;=Lists!$N$6,"Chase now (1st chase)","Wait – 1st chase on "&amp;TEXT(D112+Lists!$N$6,"dd/mm/yyyy")),IF(H112="",IF(TODAY()-G112&gt;=Lists!$N$6,"Chase again (2nd chase)","Wait – 2nd chase on "&amp;TEXT(G112+Lists!$N$6,"dd/mm/yyyy")),"Call them, then mark Won, Lost or Expired"))))))</f>
        <v/>
      </c>
      <c r="M112" s="38"/>
      <c r="N112" s="42" t="n">
        <f aca="false">IF(I112="Won",IF(K112&lt;&gt;"",K112,N(E112)),0)</f>
        <v>0</v>
      </c>
      <c r="O112" s="42" t="str">
        <f aca="false">IF(ISNUMBER(F112),IF(F112&gt;Lists!$N$6,D112+ROW()/100000,""),"")</f>
        <v/>
      </c>
    </row>
    <row r="113" customFormat="false" ht="27.75" hidden="false" customHeight="true" outlineLevel="0" collapsed="false">
      <c r="A113" s="38"/>
      <c r="B113" s="38"/>
      <c r="C113" s="41"/>
      <c r="D113" s="39"/>
      <c r="E113" s="44"/>
      <c r="F113" s="47" t="str">
        <f aca="true">IF(D113="","",IF(OR(I113="",I113="Sent"),TODAY()-D113,""))</f>
        <v/>
      </c>
      <c r="G113" s="39"/>
      <c r="H113" s="39"/>
      <c r="I113" s="41"/>
      <c r="J113" s="39"/>
      <c r="K113" s="44"/>
      <c r="L113" s="42" t="str">
        <f aca="true">IF(D113="","",IF(AND(OR(I113="Won",I113="Lost"),J113=""),"Add the decision date",IF(I113="Won","Won – book the work in",IF(NOT(OR(I113="",I113="Sent")),"Closed – note why in Notes",IF(G113="",IF(F113&gt;=Lists!$N$6,"Chase now (1st chase)","Wait – 1st chase on "&amp;TEXT(D113+Lists!$N$6,"dd/mm/yyyy")),IF(H113="",IF(TODAY()-G113&gt;=Lists!$N$6,"Chase again (2nd chase)","Wait – 2nd chase on "&amp;TEXT(G113+Lists!$N$6,"dd/mm/yyyy")),"Call them, then mark Won, Lost or Expired"))))))</f>
        <v/>
      </c>
      <c r="M113" s="38"/>
      <c r="N113" s="42" t="n">
        <f aca="false">IF(I113="Won",IF(K113&lt;&gt;"",K113,N(E113)),0)</f>
        <v>0</v>
      </c>
      <c r="O113" s="42" t="str">
        <f aca="false">IF(ISNUMBER(F113),IF(F113&gt;Lists!$N$6,D113+ROW()/100000,""),"")</f>
        <v/>
      </c>
    </row>
    <row r="114" customFormat="false" ht="27.75" hidden="false" customHeight="true" outlineLevel="0" collapsed="false">
      <c r="A114" s="38"/>
      <c r="B114" s="38"/>
      <c r="C114" s="41"/>
      <c r="D114" s="39"/>
      <c r="E114" s="44"/>
      <c r="F114" s="47" t="str">
        <f aca="true">IF(D114="","",IF(OR(I114="",I114="Sent"),TODAY()-D114,""))</f>
        <v/>
      </c>
      <c r="G114" s="39"/>
      <c r="H114" s="39"/>
      <c r="I114" s="41"/>
      <c r="J114" s="39"/>
      <c r="K114" s="44"/>
      <c r="L114" s="42" t="str">
        <f aca="true">IF(D114="","",IF(AND(OR(I114="Won",I114="Lost"),J114=""),"Add the decision date",IF(I114="Won","Won – book the work in",IF(NOT(OR(I114="",I114="Sent")),"Closed – note why in Notes",IF(G114="",IF(F114&gt;=Lists!$N$6,"Chase now (1st chase)","Wait – 1st chase on "&amp;TEXT(D114+Lists!$N$6,"dd/mm/yyyy")),IF(H114="",IF(TODAY()-G114&gt;=Lists!$N$6,"Chase again (2nd chase)","Wait – 2nd chase on "&amp;TEXT(G114+Lists!$N$6,"dd/mm/yyyy")),"Call them, then mark Won, Lost or Expired"))))))</f>
        <v/>
      </c>
      <c r="M114" s="38"/>
      <c r="N114" s="42" t="n">
        <f aca="false">IF(I114="Won",IF(K114&lt;&gt;"",K114,N(E114)),0)</f>
        <v>0</v>
      </c>
      <c r="O114" s="42" t="str">
        <f aca="false">IF(ISNUMBER(F114),IF(F114&gt;Lists!$N$6,D114+ROW()/100000,""),"")</f>
        <v/>
      </c>
    </row>
    <row r="115" customFormat="false" ht="27.75" hidden="false" customHeight="true" outlineLevel="0" collapsed="false">
      <c r="A115" s="38"/>
      <c r="B115" s="38"/>
      <c r="C115" s="41"/>
      <c r="D115" s="39"/>
      <c r="E115" s="44"/>
      <c r="F115" s="47" t="str">
        <f aca="true">IF(D115="","",IF(OR(I115="",I115="Sent"),TODAY()-D115,""))</f>
        <v/>
      </c>
      <c r="G115" s="39"/>
      <c r="H115" s="39"/>
      <c r="I115" s="41"/>
      <c r="J115" s="39"/>
      <c r="K115" s="44"/>
      <c r="L115" s="42" t="str">
        <f aca="true">IF(D115="","",IF(AND(OR(I115="Won",I115="Lost"),J115=""),"Add the decision date",IF(I115="Won","Won – book the work in",IF(NOT(OR(I115="",I115="Sent")),"Closed – note why in Notes",IF(G115="",IF(F115&gt;=Lists!$N$6,"Chase now (1st chase)","Wait – 1st chase on "&amp;TEXT(D115+Lists!$N$6,"dd/mm/yyyy")),IF(H115="",IF(TODAY()-G115&gt;=Lists!$N$6,"Chase again (2nd chase)","Wait – 2nd chase on "&amp;TEXT(G115+Lists!$N$6,"dd/mm/yyyy")),"Call them, then mark Won, Lost or Expired"))))))</f>
        <v/>
      </c>
      <c r="M115" s="38"/>
      <c r="N115" s="42" t="n">
        <f aca="false">IF(I115="Won",IF(K115&lt;&gt;"",K115,N(E115)),0)</f>
        <v>0</v>
      </c>
      <c r="O115" s="42" t="str">
        <f aca="false">IF(ISNUMBER(F115),IF(F115&gt;Lists!$N$6,D115+ROW()/100000,""),"")</f>
        <v/>
      </c>
    </row>
    <row r="116" customFormat="false" ht="27.75" hidden="false" customHeight="true" outlineLevel="0" collapsed="false">
      <c r="A116" s="38"/>
      <c r="B116" s="38"/>
      <c r="C116" s="41"/>
      <c r="D116" s="39"/>
      <c r="E116" s="44"/>
      <c r="F116" s="47" t="str">
        <f aca="true">IF(D116="","",IF(OR(I116="",I116="Sent"),TODAY()-D116,""))</f>
        <v/>
      </c>
      <c r="G116" s="39"/>
      <c r="H116" s="39"/>
      <c r="I116" s="41"/>
      <c r="J116" s="39"/>
      <c r="K116" s="44"/>
      <c r="L116" s="42" t="str">
        <f aca="true">IF(D116="","",IF(AND(OR(I116="Won",I116="Lost"),J116=""),"Add the decision date",IF(I116="Won","Won – book the work in",IF(NOT(OR(I116="",I116="Sent")),"Closed – note why in Notes",IF(G116="",IF(F116&gt;=Lists!$N$6,"Chase now (1st chase)","Wait – 1st chase on "&amp;TEXT(D116+Lists!$N$6,"dd/mm/yyyy")),IF(H116="",IF(TODAY()-G116&gt;=Lists!$N$6,"Chase again (2nd chase)","Wait – 2nd chase on "&amp;TEXT(G116+Lists!$N$6,"dd/mm/yyyy")),"Call them, then mark Won, Lost or Expired"))))))</f>
        <v/>
      </c>
      <c r="M116" s="38"/>
      <c r="N116" s="42" t="n">
        <f aca="false">IF(I116="Won",IF(K116&lt;&gt;"",K116,N(E116)),0)</f>
        <v>0</v>
      </c>
      <c r="O116" s="42" t="str">
        <f aca="false">IF(ISNUMBER(F116),IF(F116&gt;Lists!$N$6,D116+ROW()/100000,""),"")</f>
        <v/>
      </c>
    </row>
    <row r="117" customFormat="false" ht="27.75" hidden="false" customHeight="true" outlineLevel="0" collapsed="false">
      <c r="A117" s="38"/>
      <c r="B117" s="38"/>
      <c r="C117" s="41"/>
      <c r="D117" s="39"/>
      <c r="E117" s="44"/>
      <c r="F117" s="47" t="str">
        <f aca="true">IF(D117="","",IF(OR(I117="",I117="Sent"),TODAY()-D117,""))</f>
        <v/>
      </c>
      <c r="G117" s="39"/>
      <c r="H117" s="39"/>
      <c r="I117" s="41"/>
      <c r="J117" s="39"/>
      <c r="K117" s="44"/>
      <c r="L117" s="42" t="str">
        <f aca="true">IF(D117="","",IF(AND(OR(I117="Won",I117="Lost"),J117=""),"Add the decision date",IF(I117="Won","Won – book the work in",IF(NOT(OR(I117="",I117="Sent")),"Closed – note why in Notes",IF(G117="",IF(F117&gt;=Lists!$N$6,"Chase now (1st chase)","Wait – 1st chase on "&amp;TEXT(D117+Lists!$N$6,"dd/mm/yyyy")),IF(H117="",IF(TODAY()-G117&gt;=Lists!$N$6,"Chase again (2nd chase)","Wait – 2nd chase on "&amp;TEXT(G117+Lists!$N$6,"dd/mm/yyyy")),"Call them, then mark Won, Lost or Expired"))))))</f>
        <v/>
      </c>
      <c r="M117" s="38"/>
      <c r="N117" s="42" t="n">
        <f aca="false">IF(I117="Won",IF(K117&lt;&gt;"",K117,N(E117)),0)</f>
        <v>0</v>
      </c>
      <c r="O117" s="42" t="str">
        <f aca="false">IF(ISNUMBER(F117),IF(F117&gt;Lists!$N$6,D117+ROW()/100000,""),"")</f>
        <v/>
      </c>
    </row>
    <row r="118" customFormat="false" ht="27.75" hidden="false" customHeight="true" outlineLevel="0" collapsed="false">
      <c r="A118" s="38"/>
      <c r="B118" s="38"/>
      <c r="C118" s="41"/>
      <c r="D118" s="39"/>
      <c r="E118" s="44"/>
      <c r="F118" s="47" t="str">
        <f aca="true">IF(D118="","",IF(OR(I118="",I118="Sent"),TODAY()-D118,""))</f>
        <v/>
      </c>
      <c r="G118" s="39"/>
      <c r="H118" s="39"/>
      <c r="I118" s="41"/>
      <c r="J118" s="39"/>
      <c r="K118" s="44"/>
      <c r="L118" s="42" t="str">
        <f aca="true">IF(D118="","",IF(AND(OR(I118="Won",I118="Lost"),J118=""),"Add the decision date",IF(I118="Won","Won – book the work in",IF(NOT(OR(I118="",I118="Sent")),"Closed – note why in Notes",IF(G118="",IF(F118&gt;=Lists!$N$6,"Chase now (1st chase)","Wait – 1st chase on "&amp;TEXT(D118+Lists!$N$6,"dd/mm/yyyy")),IF(H118="",IF(TODAY()-G118&gt;=Lists!$N$6,"Chase again (2nd chase)","Wait – 2nd chase on "&amp;TEXT(G118+Lists!$N$6,"dd/mm/yyyy")),"Call them, then mark Won, Lost or Expired"))))))</f>
        <v/>
      </c>
      <c r="M118" s="38"/>
      <c r="N118" s="42" t="n">
        <f aca="false">IF(I118="Won",IF(K118&lt;&gt;"",K118,N(E118)),0)</f>
        <v>0</v>
      </c>
      <c r="O118" s="42" t="str">
        <f aca="false">IF(ISNUMBER(F118),IF(F118&gt;Lists!$N$6,D118+ROW()/100000,""),"")</f>
        <v/>
      </c>
    </row>
    <row r="119" customFormat="false" ht="27.75" hidden="false" customHeight="true" outlineLevel="0" collapsed="false">
      <c r="A119" s="38"/>
      <c r="B119" s="38"/>
      <c r="C119" s="41"/>
      <c r="D119" s="39"/>
      <c r="E119" s="44"/>
      <c r="F119" s="47" t="str">
        <f aca="true">IF(D119="","",IF(OR(I119="",I119="Sent"),TODAY()-D119,""))</f>
        <v/>
      </c>
      <c r="G119" s="39"/>
      <c r="H119" s="39"/>
      <c r="I119" s="41"/>
      <c r="J119" s="39"/>
      <c r="K119" s="44"/>
      <c r="L119" s="42" t="str">
        <f aca="true">IF(D119="","",IF(AND(OR(I119="Won",I119="Lost"),J119=""),"Add the decision date",IF(I119="Won","Won – book the work in",IF(NOT(OR(I119="",I119="Sent")),"Closed – note why in Notes",IF(G119="",IF(F119&gt;=Lists!$N$6,"Chase now (1st chase)","Wait – 1st chase on "&amp;TEXT(D119+Lists!$N$6,"dd/mm/yyyy")),IF(H119="",IF(TODAY()-G119&gt;=Lists!$N$6,"Chase again (2nd chase)","Wait – 2nd chase on "&amp;TEXT(G119+Lists!$N$6,"dd/mm/yyyy")),"Call them, then mark Won, Lost or Expired"))))))</f>
        <v/>
      </c>
      <c r="M119" s="38"/>
      <c r="N119" s="42" t="n">
        <f aca="false">IF(I119="Won",IF(K119&lt;&gt;"",K119,N(E119)),0)</f>
        <v>0</v>
      </c>
      <c r="O119" s="42" t="str">
        <f aca="false">IF(ISNUMBER(F119),IF(F119&gt;Lists!$N$6,D119+ROW()/100000,""),"")</f>
        <v/>
      </c>
    </row>
    <row r="120" customFormat="false" ht="27.75" hidden="false" customHeight="true" outlineLevel="0" collapsed="false">
      <c r="A120" s="38"/>
      <c r="B120" s="38"/>
      <c r="C120" s="41"/>
      <c r="D120" s="39"/>
      <c r="E120" s="44"/>
      <c r="F120" s="47" t="str">
        <f aca="true">IF(D120="","",IF(OR(I120="",I120="Sent"),TODAY()-D120,""))</f>
        <v/>
      </c>
      <c r="G120" s="39"/>
      <c r="H120" s="39"/>
      <c r="I120" s="41"/>
      <c r="J120" s="39"/>
      <c r="K120" s="44"/>
      <c r="L120" s="42" t="str">
        <f aca="true">IF(D120="","",IF(AND(OR(I120="Won",I120="Lost"),J120=""),"Add the decision date",IF(I120="Won","Won – book the work in",IF(NOT(OR(I120="",I120="Sent")),"Closed – note why in Notes",IF(G120="",IF(F120&gt;=Lists!$N$6,"Chase now (1st chase)","Wait – 1st chase on "&amp;TEXT(D120+Lists!$N$6,"dd/mm/yyyy")),IF(H120="",IF(TODAY()-G120&gt;=Lists!$N$6,"Chase again (2nd chase)","Wait – 2nd chase on "&amp;TEXT(G120+Lists!$N$6,"dd/mm/yyyy")),"Call them, then mark Won, Lost or Expired"))))))</f>
        <v/>
      </c>
      <c r="M120" s="38"/>
      <c r="N120" s="42" t="n">
        <f aca="false">IF(I120="Won",IF(K120&lt;&gt;"",K120,N(E120)),0)</f>
        <v>0</v>
      </c>
      <c r="O120" s="42" t="str">
        <f aca="false">IF(ISNUMBER(F120),IF(F120&gt;Lists!$N$6,D120+ROW()/100000,""),"")</f>
        <v/>
      </c>
    </row>
    <row r="121" customFormat="false" ht="27.75" hidden="false" customHeight="true" outlineLevel="0" collapsed="false">
      <c r="A121" s="38"/>
      <c r="B121" s="38"/>
      <c r="C121" s="41"/>
      <c r="D121" s="39"/>
      <c r="E121" s="44"/>
      <c r="F121" s="47" t="str">
        <f aca="true">IF(D121="","",IF(OR(I121="",I121="Sent"),TODAY()-D121,""))</f>
        <v/>
      </c>
      <c r="G121" s="39"/>
      <c r="H121" s="39"/>
      <c r="I121" s="41"/>
      <c r="J121" s="39"/>
      <c r="K121" s="44"/>
      <c r="L121" s="42" t="str">
        <f aca="true">IF(D121="","",IF(AND(OR(I121="Won",I121="Lost"),J121=""),"Add the decision date",IF(I121="Won","Won – book the work in",IF(NOT(OR(I121="",I121="Sent")),"Closed – note why in Notes",IF(G121="",IF(F121&gt;=Lists!$N$6,"Chase now (1st chase)","Wait – 1st chase on "&amp;TEXT(D121+Lists!$N$6,"dd/mm/yyyy")),IF(H121="",IF(TODAY()-G121&gt;=Lists!$N$6,"Chase again (2nd chase)","Wait – 2nd chase on "&amp;TEXT(G121+Lists!$N$6,"dd/mm/yyyy")),"Call them, then mark Won, Lost or Expired"))))))</f>
        <v/>
      </c>
      <c r="M121" s="38"/>
      <c r="N121" s="42" t="n">
        <f aca="false">IF(I121="Won",IF(K121&lt;&gt;"",K121,N(E121)),0)</f>
        <v>0</v>
      </c>
      <c r="O121" s="42" t="str">
        <f aca="false">IF(ISNUMBER(F121),IF(F121&gt;Lists!$N$6,D121+ROW()/100000,""),"")</f>
        <v/>
      </c>
    </row>
    <row r="122" customFormat="false" ht="27.75" hidden="false" customHeight="true" outlineLevel="0" collapsed="false">
      <c r="A122" s="38"/>
      <c r="B122" s="38"/>
      <c r="C122" s="41"/>
      <c r="D122" s="39"/>
      <c r="E122" s="44"/>
      <c r="F122" s="47" t="str">
        <f aca="true">IF(D122="","",IF(OR(I122="",I122="Sent"),TODAY()-D122,""))</f>
        <v/>
      </c>
      <c r="G122" s="39"/>
      <c r="H122" s="39"/>
      <c r="I122" s="41"/>
      <c r="J122" s="39"/>
      <c r="K122" s="44"/>
      <c r="L122" s="42" t="str">
        <f aca="true">IF(D122="","",IF(AND(OR(I122="Won",I122="Lost"),J122=""),"Add the decision date",IF(I122="Won","Won – book the work in",IF(NOT(OR(I122="",I122="Sent")),"Closed – note why in Notes",IF(G122="",IF(F122&gt;=Lists!$N$6,"Chase now (1st chase)","Wait – 1st chase on "&amp;TEXT(D122+Lists!$N$6,"dd/mm/yyyy")),IF(H122="",IF(TODAY()-G122&gt;=Lists!$N$6,"Chase again (2nd chase)","Wait – 2nd chase on "&amp;TEXT(G122+Lists!$N$6,"dd/mm/yyyy")),"Call them, then mark Won, Lost or Expired"))))))</f>
        <v/>
      </c>
      <c r="M122" s="38"/>
      <c r="N122" s="42" t="n">
        <f aca="false">IF(I122="Won",IF(K122&lt;&gt;"",K122,N(E122)),0)</f>
        <v>0</v>
      </c>
      <c r="O122" s="42" t="str">
        <f aca="false">IF(ISNUMBER(F122),IF(F122&gt;Lists!$N$6,D122+ROW()/100000,""),"")</f>
        <v/>
      </c>
    </row>
    <row r="123" customFormat="false" ht="27.75" hidden="false" customHeight="true" outlineLevel="0" collapsed="false">
      <c r="A123" s="38"/>
      <c r="B123" s="38"/>
      <c r="C123" s="41"/>
      <c r="D123" s="39"/>
      <c r="E123" s="44"/>
      <c r="F123" s="47" t="str">
        <f aca="true">IF(D123="","",IF(OR(I123="",I123="Sent"),TODAY()-D123,""))</f>
        <v/>
      </c>
      <c r="G123" s="39"/>
      <c r="H123" s="39"/>
      <c r="I123" s="41"/>
      <c r="J123" s="39"/>
      <c r="K123" s="44"/>
      <c r="L123" s="42" t="str">
        <f aca="true">IF(D123="","",IF(AND(OR(I123="Won",I123="Lost"),J123=""),"Add the decision date",IF(I123="Won","Won – book the work in",IF(NOT(OR(I123="",I123="Sent")),"Closed – note why in Notes",IF(G123="",IF(F123&gt;=Lists!$N$6,"Chase now (1st chase)","Wait – 1st chase on "&amp;TEXT(D123+Lists!$N$6,"dd/mm/yyyy")),IF(H123="",IF(TODAY()-G123&gt;=Lists!$N$6,"Chase again (2nd chase)","Wait – 2nd chase on "&amp;TEXT(G123+Lists!$N$6,"dd/mm/yyyy")),"Call them, then mark Won, Lost or Expired"))))))</f>
        <v/>
      </c>
      <c r="M123" s="38"/>
      <c r="N123" s="42" t="n">
        <f aca="false">IF(I123="Won",IF(K123&lt;&gt;"",K123,N(E123)),0)</f>
        <v>0</v>
      </c>
      <c r="O123" s="42" t="str">
        <f aca="false">IF(ISNUMBER(F123),IF(F123&gt;Lists!$N$6,D123+ROW()/100000,""),"")</f>
        <v/>
      </c>
    </row>
    <row r="124" customFormat="false" ht="27.75" hidden="false" customHeight="true" outlineLevel="0" collapsed="false">
      <c r="A124" s="38"/>
      <c r="B124" s="38"/>
      <c r="C124" s="41"/>
      <c r="D124" s="39"/>
      <c r="E124" s="44"/>
      <c r="F124" s="47" t="str">
        <f aca="true">IF(D124="","",IF(OR(I124="",I124="Sent"),TODAY()-D124,""))</f>
        <v/>
      </c>
      <c r="G124" s="39"/>
      <c r="H124" s="39"/>
      <c r="I124" s="41"/>
      <c r="J124" s="39"/>
      <c r="K124" s="44"/>
      <c r="L124" s="42" t="str">
        <f aca="true">IF(D124="","",IF(AND(OR(I124="Won",I124="Lost"),J124=""),"Add the decision date",IF(I124="Won","Won – book the work in",IF(NOT(OR(I124="",I124="Sent")),"Closed – note why in Notes",IF(G124="",IF(F124&gt;=Lists!$N$6,"Chase now (1st chase)","Wait – 1st chase on "&amp;TEXT(D124+Lists!$N$6,"dd/mm/yyyy")),IF(H124="",IF(TODAY()-G124&gt;=Lists!$N$6,"Chase again (2nd chase)","Wait – 2nd chase on "&amp;TEXT(G124+Lists!$N$6,"dd/mm/yyyy")),"Call them, then mark Won, Lost or Expired"))))))</f>
        <v/>
      </c>
      <c r="M124" s="38"/>
      <c r="N124" s="42" t="n">
        <f aca="false">IF(I124="Won",IF(K124&lt;&gt;"",K124,N(E124)),0)</f>
        <v>0</v>
      </c>
      <c r="O124" s="42" t="str">
        <f aca="false">IF(ISNUMBER(F124),IF(F124&gt;Lists!$N$6,D124+ROW()/100000,""),"")</f>
        <v/>
      </c>
    </row>
    <row r="125" customFormat="false" ht="27.75" hidden="false" customHeight="true" outlineLevel="0" collapsed="false">
      <c r="A125" s="38"/>
      <c r="B125" s="38"/>
      <c r="C125" s="41"/>
      <c r="D125" s="39"/>
      <c r="E125" s="44"/>
      <c r="F125" s="47" t="str">
        <f aca="true">IF(D125="","",IF(OR(I125="",I125="Sent"),TODAY()-D125,""))</f>
        <v/>
      </c>
      <c r="G125" s="39"/>
      <c r="H125" s="39"/>
      <c r="I125" s="41"/>
      <c r="J125" s="39"/>
      <c r="K125" s="44"/>
      <c r="L125" s="42" t="str">
        <f aca="true">IF(D125="","",IF(AND(OR(I125="Won",I125="Lost"),J125=""),"Add the decision date",IF(I125="Won","Won – book the work in",IF(NOT(OR(I125="",I125="Sent")),"Closed – note why in Notes",IF(G125="",IF(F125&gt;=Lists!$N$6,"Chase now (1st chase)","Wait – 1st chase on "&amp;TEXT(D125+Lists!$N$6,"dd/mm/yyyy")),IF(H125="",IF(TODAY()-G125&gt;=Lists!$N$6,"Chase again (2nd chase)","Wait – 2nd chase on "&amp;TEXT(G125+Lists!$N$6,"dd/mm/yyyy")),"Call them, then mark Won, Lost or Expired"))))))</f>
        <v/>
      </c>
      <c r="M125" s="38"/>
      <c r="N125" s="42" t="n">
        <f aca="false">IF(I125="Won",IF(K125&lt;&gt;"",K125,N(E125)),0)</f>
        <v>0</v>
      </c>
      <c r="O125" s="42" t="str">
        <f aca="false">IF(ISNUMBER(F125),IF(F125&gt;Lists!$N$6,D125+ROW()/100000,""),"")</f>
        <v/>
      </c>
    </row>
    <row r="126" customFormat="false" ht="27.75" hidden="false" customHeight="true" outlineLevel="0" collapsed="false">
      <c r="A126" s="38"/>
      <c r="B126" s="38"/>
      <c r="C126" s="41"/>
      <c r="D126" s="39"/>
      <c r="E126" s="44"/>
      <c r="F126" s="47" t="str">
        <f aca="true">IF(D126="","",IF(OR(I126="",I126="Sent"),TODAY()-D126,""))</f>
        <v/>
      </c>
      <c r="G126" s="39"/>
      <c r="H126" s="39"/>
      <c r="I126" s="41"/>
      <c r="J126" s="39"/>
      <c r="K126" s="44"/>
      <c r="L126" s="42" t="str">
        <f aca="true">IF(D126="","",IF(AND(OR(I126="Won",I126="Lost"),J126=""),"Add the decision date",IF(I126="Won","Won – book the work in",IF(NOT(OR(I126="",I126="Sent")),"Closed – note why in Notes",IF(G126="",IF(F126&gt;=Lists!$N$6,"Chase now (1st chase)","Wait – 1st chase on "&amp;TEXT(D126+Lists!$N$6,"dd/mm/yyyy")),IF(H126="",IF(TODAY()-G126&gt;=Lists!$N$6,"Chase again (2nd chase)","Wait – 2nd chase on "&amp;TEXT(G126+Lists!$N$6,"dd/mm/yyyy")),"Call them, then mark Won, Lost or Expired"))))))</f>
        <v/>
      </c>
      <c r="M126" s="38"/>
      <c r="N126" s="42" t="n">
        <f aca="false">IF(I126="Won",IF(K126&lt;&gt;"",K126,N(E126)),0)</f>
        <v>0</v>
      </c>
      <c r="O126" s="42" t="str">
        <f aca="false">IF(ISNUMBER(F126),IF(F126&gt;Lists!$N$6,D126+ROW()/100000,""),"")</f>
        <v/>
      </c>
    </row>
    <row r="127" customFormat="false" ht="27.75" hidden="false" customHeight="true" outlineLevel="0" collapsed="false">
      <c r="A127" s="38"/>
      <c r="B127" s="38"/>
      <c r="C127" s="41"/>
      <c r="D127" s="39"/>
      <c r="E127" s="44"/>
      <c r="F127" s="47" t="str">
        <f aca="true">IF(D127="","",IF(OR(I127="",I127="Sent"),TODAY()-D127,""))</f>
        <v/>
      </c>
      <c r="G127" s="39"/>
      <c r="H127" s="39"/>
      <c r="I127" s="41"/>
      <c r="J127" s="39"/>
      <c r="K127" s="44"/>
      <c r="L127" s="42" t="str">
        <f aca="true">IF(D127="","",IF(AND(OR(I127="Won",I127="Lost"),J127=""),"Add the decision date",IF(I127="Won","Won – book the work in",IF(NOT(OR(I127="",I127="Sent")),"Closed – note why in Notes",IF(G127="",IF(F127&gt;=Lists!$N$6,"Chase now (1st chase)","Wait – 1st chase on "&amp;TEXT(D127+Lists!$N$6,"dd/mm/yyyy")),IF(H127="",IF(TODAY()-G127&gt;=Lists!$N$6,"Chase again (2nd chase)","Wait – 2nd chase on "&amp;TEXT(G127+Lists!$N$6,"dd/mm/yyyy")),"Call them, then mark Won, Lost or Expired"))))))</f>
        <v/>
      </c>
      <c r="M127" s="38"/>
      <c r="N127" s="42" t="n">
        <f aca="false">IF(I127="Won",IF(K127&lt;&gt;"",K127,N(E127)),0)</f>
        <v>0</v>
      </c>
      <c r="O127" s="42" t="str">
        <f aca="false">IF(ISNUMBER(F127),IF(F127&gt;Lists!$N$6,D127+ROW()/100000,""),"")</f>
        <v/>
      </c>
    </row>
    <row r="128" customFormat="false" ht="27.75" hidden="false" customHeight="true" outlineLevel="0" collapsed="false">
      <c r="A128" s="38"/>
      <c r="B128" s="38"/>
      <c r="C128" s="41"/>
      <c r="D128" s="39"/>
      <c r="E128" s="44"/>
      <c r="F128" s="47" t="str">
        <f aca="true">IF(D128="","",IF(OR(I128="",I128="Sent"),TODAY()-D128,""))</f>
        <v/>
      </c>
      <c r="G128" s="39"/>
      <c r="H128" s="39"/>
      <c r="I128" s="41"/>
      <c r="J128" s="39"/>
      <c r="K128" s="44"/>
      <c r="L128" s="42" t="str">
        <f aca="true">IF(D128="","",IF(AND(OR(I128="Won",I128="Lost"),J128=""),"Add the decision date",IF(I128="Won","Won – book the work in",IF(NOT(OR(I128="",I128="Sent")),"Closed – note why in Notes",IF(G128="",IF(F128&gt;=Lists!$N$6,"Chase now (1st chase)","Wait – 1st chase on "&amp;TEXT(D128+Lists!$N$6,"dd/mm/yyyy")),IF(H128="",IF(TODAY()-G128&gt;=Lists!$N$6,"Chase again (2nd chase)","Wait – 2nd chase on "&amp;TEXT(G128+Lists!$N$6,"dd/mm/yyyy")),"Call them, then mark Won, Lost or Expired"))))))</f>
        <v/>
      </c>
      <c r="M128" s="38"/>
      <c r="N128" s="42" t="n">
        <f aca="false">IF(I128="Won",IF(K128&lt;&gt;"",K128,N(E128)),0)</f>
        <v>0</v>
      </c>
      <c r="O128" s="42" t="str">
        <f aca="false">IF(ISNUMBER(F128),IF(F128&gt;Lists!$N$6,D128+ROW()/100000,""),"")</f>
        <v/>
      </c>
    </row>
    <row r="129" customFormat="false" ht="27.75" hidden="false" customHeight="true" outlineLevel="0" collapsed="false">
      <c r="A129" s="38"/>
      <c r="B129" s="38"/>
      <c r="C129" s="41"/>
      <c r="D129" s="39"/>
      <c r="E129" s="44"/>
      <c r="F129" s="47" t="str">
        <f aca="true">IF(D129="","",IF(OR(I129="",I129="Sent"),TODAY()-D129,""))</f>
        <v/>
      </c>
      <c r="G129" s="39"/>
      <c r="H129" s="39"/>
      <c r="I129" s="41"/>
      <c r="J129" s="39"/>
      <c r="K129" s="44"/>
      <c r="L129" s="42" t="str">
        <f aca="true">IF(D129="","",IF(AND(OR(I129="Won",I129="Lost"),J129=""),"Add the decision date",IF(I129="Won","Won – book the work in",IF(NOT(OR(I129="",I129="Sent")),"Closed – note why in Notes",IF(G129="",IF(F129&gt;=Lists!$N$6,"Chase now (1st chase)","Wait – 1st chase on "&amp;TEXT(D129+Lists!$N$6,"dd/mm/yyyy")),IF(H129="",IF(TODAY()-G129&gt;=Lists!$N$6,"Chase again (2nd chase)","Wait – 2nd chase on "&amp;TEXT(G129+Lists!$N$6,"dd/mm/yyyy")),"Call them, then mark Won, Lost or Expired"))))))</f>
        <v/>
      </c>
      <c r="M129" s="38"/>
      <c r="N129" s="42" t="n">
        <f aca="false">IF(I129="Won",IF(K129&lt;&gt;"",K129,N(E129)),0)</f>
        <v>0</v>
      </c>
      <c r="O129" s="42" t="str">
        <f aca="false">IF(ISNUMBER(F129),IF(F129&gt;Lists!$N$6,D129+ROW()/100000,""),"")</f>
        <v/>
      </c>
    </row>
    <row r="130" customFormat="false" ht="27.75" hidden="false" customHeight="true" outlineLevel="0" collapsed="false">
      <c r="A130" s="38"/>
      <c r="B130" s="38"/>
      <c r="C130" s="41"/>
      <c r="D130" s="39"/>
      <c r="E130" s="44"/>
      <c r="F130" s="47" t="str">
        <f aca="true">IF(D130="","",IF(OR(I130="",I130="Sent"),TODAY()-D130,""))</f>
        <v/>
      </c>
      <c r="G130" s="39"/>
      <c r="H130" s="39"/>
      <c r="I130" s="41"/>
      <c r="J130" s="39"/>
      <c r="K130" s="44"/>
      <c r="L130" s="42" t="str">
        <f aca="true">IF(D130="","",IF(AND(OR(I130="Won",I130="Lost"),J130=""),"Add the decision date",IF(I130="Won","Won – book the work in",IF(NOT(OR(I130="",I130="Sent")),"Closed – note why in Notes",IF(G130="",IF(F130&gt;=Lists!$N$6,"Chase now (1st chase)","Wait – 1st chase on "&amp;TEXT(D130+Lists!$N$6,"dd/mm/yyyy")),IF(H130="",IF(TODAY()-G130&gt;=Lists!$N$6,"Chase again (2nd chase)","Wait – 2nd chase on "&amp;TEXT(G130+Lists!$N$6,"dd/mm/yyyy")),"Call them, then mark Won, Lost or Expired"))))))</f>
        <v/>
      </c>
      <c r="M130" s="38"/>
      <c r="N130" s="42" t="n">
        <f aca="false">IF(I130="Won",IF(K130&lt;&gt;"",K130,N(E130)),0)</f>
        <v>0</v>
      </c>
      <c r="O130" s="42" t="str">
        <f aca="false">IF(ISNUMBER(F130),IF(F130&gt;Lists!$N$6,D130+ROW()/100000,""),"")</f>
        <v/>
      </c>
    </row>
    <row r="131" customFormat="false" ht="27.75" hidden="false" customHeight="true" outlineLevel="0" collapsed="false">
      <c r="A131" s="38"/>
      <c r="B131" s="38"/>
      <c r="C131" s="41"/>
      <c r="D131" s="39"/>
      <c r="E131" s="44"/>
      <c r="F131" s="47" t="str">
        <f aca="true">IF(D131="","",IF(OR(I131="",I131="Sent"),TODAY()-D131,""))</f>
        <v/>
      </c>
      <c r="G131" s="39"/>
      <c r="H131" s="39"/>
      <c r="I131" s="41"/>
      <c r="J131" s="39"/>
      <c r="K131" s="44"/>
      <c r="L131" s="42" t="str">
        <f aca="true">IF(D131="","",IF(AND(OR(I131="Won",I131="Lost"),J131=""),"Add the decision date",IF(I131="Won","Won – book the work in",IF(NOT(OR(I131="",I131="Sent")),"Closed – note why in Notes",IF(G131="",IF(F131&gt;=Lists!$N$6,"Chase now (1st chase)","Wait – 1st chase on "&amp;TEXT(D131+Lists!$N$6,"dd/mm/yyyy")),IF(H131="",IF(TODAY()-G131&gt;=Lists!$N$6,"Chase again (2nd chase)","Wait – 2nd chase on "&amp;TEXT(G131+Lists!$N$6,"dd/mm/yyyy")),"Call them, then mark Won, Lost or Expired"))))))</f>
        <v/>
      </c>
      <c r="M131" s="38"/>
      <c r="N131" s="42" t="n">
        <f aca="false">IF(I131="Won",IF(K131&lt;&gt;"",K131,N(E131)),0)</f>
        <v>0</v>
      </c>
      <c r="O131" s="42" t="str">
        <f aca="false">IF(ISNUMBER(F131),IF(F131&gt;Lists!$N$6,D131+ROW()/100000,""),"")</f>
        <v/>
      </c>
    </row>
    <row r="132" customFormat="false" ht="27.75" hidden="false" customHeight="true" outlineLevel="0" collapsed="false">
      <c r="A132" s="38"/>
      <c r="B132" s="38"/>
      <c r="C132" s="41"/>
      <c r="D132" s="39"/>
      <c r="E132" s="44"/>
      <c r="F132" s="47" t="str">
        <f aca="true">IF(D132="","",IF(OR(I132="",I132="Sent"),TODAY()-D132,""))</f>
        <v/>
      </c>
      <c r="G132" s="39"/>
      <c r="H132" s="39"/>
      <c r="I132" s="41"/>
      <c r="J132" s="39"/>
      <c r="K132" s="44"/>
      <c r="L132" s="42" t="str">
        <f aca="true">IF(D132="","",IF(AND(OR(I132="Won",I132="Lost"),J132=""),"Add the decision date",IF(I132="Won","Won – book the work in",IF(NOT(OR(I132="",I132="Sent")),"Closed – note why in Notes",IF(G132="",IF(F132&gt;=Lists!$N$6,"Chase now (1st chase)","Wait – 1st chase on "&amp;TEXT(D132+Lists!$N$6,"dd/mm/yyyy")),IF(H132="",IF(TODAY()-G132&gt;=Lists!$N$6,"Chase again (2nd chase)","Wait – 2nd chase on "&amp;TEXT(G132+Lists!$N$6,"dd/mm/yyyy")),"Call them, then mark Won, Lost or Expired"))))))</f>
        <v/>
      </c>
      <c r="M132" s="38"/>
      <c r="N132" s="42" t="n">
        <f aca="false">IF(I132="Won",IF(K132&lt;&gt;"",K132,N(E132)),0)</f>
        <v>0</v>
      </c>
      <c r="O132" s="42" t="str">
        <f aca="false">IF(ISNUMBER(F132),IF(F132&gt;Lists!$N$6,D132+ROW()/100000,""),"")</f>
        <v/>
      </c>
    </row>
    <row r="133" customFormat="false" ht="27.75" hidden="false" customHeight="true" outlineLevel="0" collapsed="false">
      <c r="A133" s="38"/>
      <c r="B133" s="38"/>
      <c r="C133" s="41"/>
      <c r="D133" s="39"/>
      <c r="E133" s="44"/>
      <c r="F133" s="47" t="str">
        <f aca="true">IF(D133="","",IF(OR(I133="",I133="Sent"),TODAY()-D133,""))</f>
        <v/>
      </c>
      <c r="G133" s="39"/>
      <c r="H133" s="39"/>
      <c r="I133" s="41"/>
      <c r="J133" s="39"/>
      <c r="K133" s="44"/>
      <c r="L133" s="42" t="str">
        <f aca="true">IF(D133="","",IF(AND(OR(I133="Won",I133="Lost"),J133=""),"Add the decision date",IF(I133="Won","Won – book the work in",IF(NOT(OR(I133="",I133="Sent")),"Closed – note why in Notes",IF(G133="",IF(F133&gt;=Lists!$N$6,"Chase now (1st chase)","Wait – 1st chase on "&amp;TEXT(D133+Lists!$N$6,"dd/mm/yyyy")),IF(H133="",IF(TODAY()-G133&gt;=Lists!$N$6,"Chase again (2nd chase)","Wait – 2nd chase on "&amp;TEXT(G133+Lists!$N$6,"dd/mm/yyyy")),"Call them, then mark Won, Lost or Expired"))))))</f>
        <v/>
      </c>
      <c r="M133" s="38"/>
      <c r="N133" s="42" t="n">
        <f aca="false">IF(I133="Won",IF(K133&lt;&gt;"",K133,N(E133)),0)</f>
        <v>0</v>
      </c>
      <c r="O133" s="42" t="str">
        <f aca="false">IF(ISNUMBER(F133),IF(F133&gt;Lists!$N$6,D133+ROW()/100000,""),"")</f>
        <v/>
      </c>
    </row>
    <row r="134" customFormat="false" ht="27.75" hidden="false" customHeight="true" outlineLevel="0" collapsed="false">
      <c r="A134" s="38"/>
      <c r="B134" s="38"/>
      <c r="C134" s="41"/>
      <c r="D134" s="39"/>
      <c r="E134" s="44"/>
      <c r="F134" s="47" t="str">
        <f aca="true">IF(D134="","",IF(OR(I134="",I134="Sent"),TODAY()-D134,""))</f>
        <v/>
      </c>
      <c r="G134" s="39"/>
      <c r="H134" s="39"/>
      <c r="I134" s="41"/>
      <c r="J134" s="39"/>
      <c r="K134" s="44"/>
      <c r="L134" s="42" t="str">
        <f aca="true">IF(D134="","",IF(AND(OR(I134="Won",I134="Lost"),J134=""),"Add the decision date",IF(I134="Won","Won – book the work in",IF(NOT(OR(I134="",I134="Sent")),"Closed – note why in Notes",IF(G134="",IF(F134&gt;=Lists!$N$6,"Chase now (1st chase)","Wait – 1st chase on "&amp;TEXT(D134+Lists!$N$6,"dd/mm/yyyy")),IF(H134="",IF(TODAY()-G134&gt;=Lists!$N$6,"Chase again (2nd chase)","Wait – 2nd chase on "&amp;TEXT(G134+Lists!$N$6,"dd/mm/yyyy")),"Call them, then mark Won, Lost or Expired"))))))</f>
        <v/>
      </c>
      <c r="M134" s="38"/>
      <c r="N134" s="42" t="n">
        <f aca="false">IF(I134="Won",IF(K134&lt;&gt;"",K134,N(E134)),0)</f>
        <v>0</v>
      </c>
      <c r="O134" s="42" t="str">
        <f aca="false">IF(ISNUMBER(F134),IF(F134&gt;Lists!$N$6,D134+ROW()/100000,""),"")</f>
        <v/>
      </c>
    </row>
    <row r="135" customFormat="false" ht="27.75" hidden="false" customHeight="true" outlineLevel="0" collapsed="false">
      <c r="A135" s="38"/>
      <c r="B135" s="38"/>
      <c r="C135" s="41"/>
      <c r="D135" s="39"/>
      <c r="E135" s="44"/>
      <c r="F135" s="47" t="str">
        <f aca="true">IF(D135="","",IF(OR(I135="",I135="Sent"),TODAY()-D135,""))</f>
        <v/>
      </c>
      <c r="G135" s="39"/>
      <c r="H135" s="39"/>
      <c r="I135" s="41"/>
      <c r="J135" s="39"/>
      <c r="K135" s="44"/>
      <c r="L135" s="42" t="str">
        <f aca="true">IF(D135="","",IF(AND(OR(I135="Won",I135="Lost"),J135=""),"Add the decision date",IF(I135="Won","Won – book the work in",IF(NOT(OR(I135="",I135="Sent")),"Closed – note why in Notes",IF(G135="",IF(F135&gt;=Lists!$N$6,"Chase now (1st chase)","Wait – 1st chase on "&amp;TEXT(D135+Lists!$N$6,"dd/mm/yyyy")),IF(H135="",IF(TODAY()-G135&gt;=Lists!$N$6,"Chase again (2nd chase)","Wait – 2nd chase on "&amp;TEXT(G135+Lists!$N$6,"dd/mm/yyyy")),"Call them, then mark Won, Lost or Expired"))))))</f>
        <v/>
      </c>
      <c r="M135" s="38"/>
      <c r="N135" s="42" t="n">
        <f aca="false">IF(I135="Won",IF(K135&lt;&gt;"",K135,N(E135)),0)</f>
        <v>0</v>
      </c>
      <c r="O135" s="42" t="str">
        <f aca="false">IF(ISNUMBER(F135),IF(F135&gt;Lists!$N$6,D135+ROW()/100000,""),"")</f>
        <v/>
      </c>
    </row>
    <row r="136" customFormat="false" ht="27.75" hidden="false" customHeight="true" outlineLevel="0" collapsed="false">
      <c r="A136" s="38"/>
      <c r="B136" s="38"/>
      <c r="C136" s="41"/>
      <c r="D136" s="39"/>
      <c r="E136" s="44"/>
      <c r="F136" s="47" t="str">
        <f aca="true">IF(D136="","",IF(OR(I136="",I136="Sent"),TODAY()-D136,""))</f>
        <v/>
      </c>
      <c r="G136" s="39"/>
      <c r="H136" s="39"/>
      <c r="I136" s="41"/>
      <c r="J136" s="39"/>
      <c r="K136" s="44"/>
      <c r="L136" s="42" t="str">
        <f aca="true">IF(D136="","",IF(AND(OR(I136="Won",I136="Lost"),J136=""),"Add the decision date",IF(I136="Won","Won – book the work in",IF(NOT(OR(I136="",I136="Sent")),"Closed – note why in Notes",IF(G136="",IF(F136&gt;=Lists!$N$6,"Chase now (1st chase)","Wait – 1st chase on "&amp;TEXT(D136+Lists!$N$6,"dd/mm/yyyy")),IF(H136="",IF(TODAY()-G136&gt;=Lists!$N$6,"Chase again (2nd chase)","Wait – 2nd chase on "&amp;TEXT(G136+Lists!$N$6,"dd/mm/yyyy")),"Call them, then mark Won, Lost or Expired"))))))</f>
        <v/>
      </c>
      <c r="M136" s="38"/>
      <c r="N136" s="42" t="n">
        <f aca="false">IF(I136="Won",IF(K136&lt;&gt;"",K136,N(E136)),0)</f>
        <v>0</v>
      </c>
      <c r="O136" s="42" t="str">
        <f aca="false">IF(ISNUMBER(F136),IF(F136&gt;Lists!$N$6,D136+ROW()/100000,""),"")</f>
        <v/>
      </c>
    </row>
    <row r="137" customFormat="false" ht="27.75" hidden="false" customHeight="true" outlineLevel="0" collapsed="false">
      <c r="A137" s="38"/>
      <c r="B137" s="38"/>
      <c r="C137" s="41"/>
      <c r="D137" s="39"/>
      <c r="E137" s="44"/>
      <c r="F137" s="47" t="str">
        <f aca="true">IF(D137="","",IF(OR(I137="",I137="Sent"),TODAY()-D137,""))</f>
        <v/>
      </c>
      <c r="G137" s="39"/>
      <c r="H137" s="39"/>
      <c r="I137" s="41"/>
      <c r="J137" s="39"/>
      <c r="K137" s="44"/>
      <c r="L137" s="42" t="str">
        <f aca="true">IF(D137="","",IF(AND(OR(I137="Won",I137="Lost"),J137=""),"Add the decision date",IF(I137="Won","Won – book the work in",IF(NOT(OR(I137="",I137="Sent")),"Closed – note why in Notes",IF(G137="",IF(F137&gt;=Lists!$N$6,"Chase now (1st chase)","Wait – 1st chase on "&amp;TEXT(D137+Lists!$N$6,"dd/mm/yyyy")),IF(H137="",IF(TODAY()-G137&gt;=Lists!$N$6,"Chase again (2nd chase)","Wait – 2nd chase on "&amp;TEXT(G137+Lists!$N$6,"dd/mm/yyyy")),"Call them, then mark Won, Lost or Expired"))))))</f>
        <v/>
      </c>
      <c r="M137" s="38"/>
      <c r="N137" s="42" t="n">
        <f aca="false">IF(I137="Won",IF(K137&lt;&gt;"",K137,N(E137)),0)</f>
        <v>0</v>
      </c>
      <c r="O137" s="42" t="str">
        <f aca="false">IF(ISNUMBER(F137),IF(F137&gt;Lists!$N$6,D137+ROW()/100000,""),"")</f>
        <v/>
      </c>
    </row>
    <row r="138" customFormat="false" ht="27.75" hidden="false" customHeight="true" outlineLevel="0" collapsed="false">
      <c r="A138" s="38"/>
      <c r="B138" s="38"/>
      <c r="C138" s="41"/>
      <c r="D138" s="39"/>
      <c r="E138" s="44"/>
      <c r="F138" s="47" t="str">
        <f aca="true">IF(D138="","",IF(OR(I138="",I138="Sent"),TODAY()-D138,""))</f>
        <v/>
      </c>
      <c r="G138" s="39"/>
      <c r="H138" s="39"/>
      <c r="I138" s="41"/>
      <c r="J138" s="39"/>
      <c r="K138" s="44"/>
      <c r="L138" s="42" t="str">
        <f aca="true">IF(D138="","",IF(AND(OR(I138="Won",I138="Lost"),J138=""),"Add the decision date",IF(I138="Won","Won – book the work in",IF(NOT(OR(I138="",I138="Sent")),"Closed – note why in Notes",IF(G138="",IF(F138&gt;=Lists!$N$6,"Chase now (1st chase)","Wait – 1st chase on "&amp;TEXT(D138+Lists!$N$6,"dd/mm/yyyy")),IF(H138="",IF(TODAY()-G138&gt;=Lists!$N$6,"Chase again (2nd chase)","Wait – 2nd chase on "&amp;TEXT(G138+Lists!$N$6,"dd/mm/yyyy")),"Call them, then mark Won, Lost or Expired"))))))</f>
        <v/>
      </c>
      <c r="M138" s="38"/>
      <c r="N138" s="42" t="n">
        <f aca="false">IF(I138="Won",IF(K138&lt;&gt;"",K138,N(E138)),0)</f>
        <v>0</v>
      </c>
      <c r="O138" s="42" t="str">
        <f aca="false">IF(ISNUMBER(F138),IF(F138&gt;Lists!$N$6,D138+ROW()/100000,""),"")</f>
        <v/>
      </c>
    </row>
    <row r="139" customFormat="false" ht="27.75" hidden="false" customHeight="true" outlineLevel="0" collapsed="false">
      <c r="A139" s="38"/>
      <c r="B139" s="38"/>
      <c r="C139" s="41"/>
      <c r="D139" s="39"/>
      <c r="E139" s="44"/>
      <c r="F139" s="47" t="str">
        <f aca="true">IF(D139="","",IF(OR(I139="",I139="Sent"),TODAY()-D139,""))</f>
        <v/>
      </c>
      <c r="G139" s="39"/>
      <c r="H139" s="39"/>
      <c r="I139" s="41"/>
      <c r="J139" s="39"/>
      <c r="K139" s="44"/>
      <c r="L139" s="42" t="str">
        <f aca="true">IF(D139="","",IF(AND(OR(I139="Won",I139="Lost"),J139=""),"Add the decision date",IF(I139="Won","Won – book the work in",IF(NOT(OR(I139="",I139="Sent")),"Closed – note why in Notes",IF(G139="",IF(F139&gt;=Lists!$N$6,"Chase now (1st chase)","Wait – 1st chase on "&amp;TEXT(D139+Lists!$N$6,"dd/mm/yyyy")),IF(H139="",IF(TODAY()-G139&gt;=Lists!$N$6,"Chase again (2nd chase)","Wait – 2nd chase on "&amp;TEXT(G139+Lists!$N$6,"dd/mm/yyyy")),"Call them, then mark Won, Lost or Expired"))))))</f>
        <v/>
      </c>
      <c r="M139" s="38"/>
      <c r="N139" s="42" t="n">
        <f aca="false">IF(I139="Won",IF(K139&lt;&gt;"",K139,N(E139)),0)</f>
        <v>0</v>
      </c>
      <c r="O139" s="42" t="str">
        <f aca="false">IF(ISNUMBER(F139),IF(F139&gt;Lists!$N$6,D139+ROW()/100000,""),"")</f>
        <v/>
      </c>
    </row>
    <row r="140" customFormat="false" ht="27.75" hidden="false" customHeight="true" outlineLevel="0" collapsed="false">
      <c r="A140" s="38"/>
      <c r="B140" s="38"/>
      <c r="C140" s="41"/>
      <c r="D140" s="39"/>
      <c r="E140" s="44"/>
      <c r="F140" s="47" t="str">
        <f aca="true">IF(D140="","",IF(OR(I140="",I140="Sent"),TODAY()-D140,""))</f>
        <v/>
      </c>
      <c r="G140" s="39"/>
      <c r="H140" s="39"/>
      <c r="I140" s="41"/>
      <c r="J140" s="39"/>
      <c r="K140" s="44"/>
      <c r="L140" s="42" t="str">
        <f aca="true">IF(D140="","",IF(AND(OR(I140="Won",I140="Lost"),J140=""),"Add the decision date",IF(I140="Won","Won – book the work in",IF(NOT(OR(I140="",I140="Sent")),"Closed – note why in Notes",IF(G140="",IF(F140&gt;=Lists!$N$6,"Chase now (1st chase)","Wait – 1st chase on "&amp;TEXT(D140+Lists!$N$6,"dd/mm/yyyy")),IF(H140="",IF(TODAY()-G140&gt;=Lists!$N$6,"Chase again (2nd chase)","Wait – 2nd chase on "&amp;TEXT(G140+Lists!$N$6,"dd/mm/yyyy")),"Call them, then mark Won, Lost or Expired"))))))</f>
        <v/>
      </c>
      <c r="M140" s="38"/>
      <c r="N140" s="42" t="n">
        <f aca="false">IF(I140="Won",IF(K140&lt;&gt;"",K140,N(E140)),0)</f>
        <v>0</v>
      </c>
      <c r="O140" s="42" t="str">
        <f aca="false">IF(ISNUMBER(F140),IF(F140&gt;Lists!$N$6,D140+ROW()/100000,""),"")</f>
        <v/>
      </c>
    </row>
    <row r="141" customFormat="false" ht="27.75" hidden="false" customHeight="true" outlineLevel="0" collapsed="false">
      <c r="A141" s="38"/>
      <c r="B141" s="38"/>
      <c r="C141" s="41"/>
      <c r="D141" s="39"/>
      <c r="E141" s="44"/>
      <c r="F141" s="47" t="str">
        <f aca="true">IF(D141="","",IF(OR(I141="",I141="Sent"),TODAY()-D141,""))</f>
        <v/>
      </c>
      <c r="G141" s="39"/>
      <c r="H141" s="39"/>
      <c r="I141" s="41"/>
      <c r="J141" s="39"/>
      <c r="K141" s="44"/>
      <c r="L141" s="42" t="str">
        <f aca="true">IF(D141="","",IF(AND(OR(I141="Won",I141="Lost"),J141=""),"Add the decision date",IF(I141="Won","Won – book the work in",IF(NOT(OR(I141="",I141="Sent")),"Closed – note why in Notes",IF(G141="",IF(F141&gt;=Lists!$N$6,"Chase now (1st chase)","Wait – 1st chase on "&amp;TEXT(D141+Lists!$N$6,"dd/mm/yyyy")),IF(H141="",IF(TODAY()-G141&gt;=Lists!$N$6,"Chase again (2nd chase)","Wait – 2nd chase on "&amp;TEXT(G141+Lists!$N$6,"dd/mm/yyyy")),"Call them, then mark Won, Lost or Expired"))))))</f>
        <v/>
      </c>
      <c r="M141" s="38"/>
      <c r="N141" s="42" t="n">
        <f aca="false">IF(I141="Won",IF(K141&lt;&gt;"",K141,N(E141)),0)</f>
        <v>0</v>
      </c>
      <c r="O141" s="42" t="str">
        <f aca="false">IF(ISNUMBER(F141),IF(F141&gt;Lists!$N$6,D141+ROW()/100000,""),"")</f>
        <v/>
      </c>
    </row>
    <row r="142" customFormat="false" ht="27.75" hidden="false" customHeight="true" outlineLevel="0" collapsed="false">
      <c r="A142" s="38"/>
      <c r="B142" s="38"/>
      <c r="C142" s="41"/>
      <c r="D142" s="39"/>
      <c r="E142" s="44"/>
      <c r="F142" s="47" t="str">
        <f aca="true">IF(D142="","",IF(OR(I142="",I142="Sent"),TODAY()-D142,""))</f>
        <v/>
      </c>
      <c r="G142" s="39"/>
      <c r="H142" s="39"/>
      <c r="I142" s="41"/>
      <c r="J142" s="39"/>
      <c r="K142" s="44"/>
      <c r="L142" s="42" t="str">
        <f aca="true">IF(D142="","",IF(AND(OR(I142="Won",I142="Lost"),J142=""),"Add the decision date",IF(I142="Won","Won – book the work in",IF(NOT(OR(I142="",I142="Sent")),"Closed – note why in Notes",IF(G142="",IF(F142&gt;=Lists!$N$6,"Chase now (1st chase)","Wait – 1st chase on "&amp;TEXT(D142+Lists!$N$6,"dd/mm/yyyy")),IF(H142="",IF(TODAY()-G142&gt;=Lists!$N$6,"Chase again (2nd chase)","Wait – 2nd chase on "&amp;TEXT(G142+Lists!$N$6,"dd/mm/yyyy")),"Call them, then mark Won, Lost or Expired"))))))</f>
        <v/>
      </c>
      <c r="M142" s="38"/>
      <c r="N142" s="42" t="n">
        <f aca="false">IF(I142="Won",IF(K142&lt;&gt;"",K142,N(E142)),0)</f>
        <v>0</v>
      </c>
      <c r="O142" s="42" t="str">
        <f aca="false">IF(ISNUMBER(F142),IF(F142&gt;Lists!$N$6,D142+ROW()/100000,""),"")</f>
        <v/>
      </c>
    </row>
    <row r="143" customFormat="false" ht="27.75" hidden="false" customHeight="true" outlineLevel="0" collapsed="false">
      <c r="A143" s="38"/>
      <c r="B143" s="38"/>
      <c r="C143" s="41"/>
      <c r="D143" s="39"/>
      <c r="E143" s="44"/>
      <c r="F143" s="47" t="str">
        <f aca="true">IF(D143="","",IF(OR(I143="",I143="Sent"),TODAY()-D143,""))</f>
        <v/>
      </c>
      <c r="G143" s="39"/>
      <c r="H143" s="39"/>
      <c r="I143" s="41"/>
      <c r="J143" s="39"/>
      <c r="K143" s="44"/>
      <c r="L143" s="42" t="str">
        <f aca="true">IF(D143="","",IF(AND(OR(I143="Won",I143="Lost"),J143=""),"Add the decision date",IF(I143="Won","Won – book the work in",IF(NOT(OR(I143="",I143="Sent")),"Closed – note why in Notes",IF(G143="",IF(F143&gt;=Lists!$N$6,"Chase now (1st chase)","Wait – 1st chase on "&amp;TEXT(D143+Lists!$N$6,"dd/mm/yyyy")),IF(H143="",IF(TODAY()-G143&gt;=Lists!$N$6,"Chase again (2nd chase)","Wait – 2nd chase on "&amp;TEXT(G143+Lists!$N$6,"dd/mm/yyyy")),"Call them, then mark Won, Lost or Expired"))))))</f>
        <v/>
      </c>
      <c r="M143" s="38"/>
      <c r="N143" s="42" t="n">
        <f aca="false">IF(I143="Won",IF(K143&lt;&gt;"",K143,N(E143)),0)</f>
        <v>0</v>
      </c>
      <c r="O143" s="42" t="str">
        <f aca="false">IF(ISNUMBER(F143),IF(F143&gt;Lists!$N$6,D143+ROW()/100000,""),"")</f>
        <v/>
      </c>
    </row>
    <row r="144" customFormat="false" ht="27.75" hidden="false" customHeight="true" outlineLevel="0" collapsed="false">
      <c r="A144" s="38"/>
      <c r="B144" s="38"/>
      <c r="C144" s="41"/>
      <c r="D144" s="39"/>
      <c r="E144" s="44"/>
      <c r="F144" s="47" t="str">
        <f aca="true">IF(D144="","",IF(OR(I144="",I144="Sent"),TODAY()-D144,""))</f>
        <v/>
      </c>
      <c r="G144" s="39"/>
      <c r="H144" s="39"/>
      <c r="I144" s="41"/>
      <c r="J144" s="39"/>
      <c r="K144" s="44"/>
      <c r="L144" s="42" t="str">
        <f aca="true">IF(D144="","",IF(AND(OR(I144="Won",I144="Lost"),J144=""),"Add the decision date",IF(I144="Won","Won – book the work in",IF(NOT(OR(I144="",I144="Sent")),"Closed – note why in Notes",IF(G144="",IF(F144&gt;=Lists!$N$6,"Chase now (1st chase)","Wait – 1st chase on "&amp;TEXT(D144+Lists!$N$6,"dd/mm/yyyy")),IF(H144="",IF(TODAY()-G144&gt;=Lists!$N$6,"Chase again (2nd chase)","Wait – 2nd chase on "&amp;TEXT(G144+Lists!$N$6,"dd/mm/yyyy")),"Call them, then mark Won, Lost or Expired"))))))</f>
        <v/>
      </c>
      <c r="M144" s="38"/>
      <c r="N144" s="42" t="n">
        <f aca="false">IF(I144="Won",IF(K144&lt;&gt;"",K144,N(E144)),0)</f>
        <v>0</v>
      </c>
      <c r="O144" s="42" t="str">
        <f aca="false">IF(ISNUMBER(F144),IF(F144&gt;Lists!$N$6,D144+ROW()/100000,""),"")</f>
        <v/>
      </c>
    </row>
    <row r="145" customFormat="false" ht="27.75" hidden="false" customHeight="true" outlineLevel="0" collapsed="false">
      <c r="A145" s="38"/>
      <c r="B145" s="38"/>
      <c r="C145" s="41"/>
      <c r="D145" s="39"/>
      <c r="E145" s="44"/>
      <c r="F145" s="47" t="str">
        <f aca="true">IF(D145="","",IF(OR(I145="",I145="Sent"),TODAY()-D145,""))</f>
        <v/>
      </c>
      <c r="G145" s="39"/>
      <c r="H145" s="39"/>
      <c r="I145" s="41"/>
      <c r="J145" s="39"/>
      <c r="K145" s="44"/>
      <c r="L145" s="42" t="str">
        <f aca="true">IF(D145="","",IF(AND(OR(I145="Won",I145="Lost"),J145=""),"Add the decision date",IF(I145="Won","Won – book the work in",IF(NOT(OR(I145="",I145="Sent")),"Closed – note why in Notes",IF(G145="",IF(F145&gt;=Lists!$N$6,"Chase now (1st chase)","Wait – 1st chase on "&amp;TEXT(D145+Lists!$N$6,"dd/mm/yyyy")),IF(H145="",IF(TODAY()-G145&gt;=Lists!$N$6,"Chase again (2nd chase)","Wait – 2nd chase on "&amp;TEXT(G145+Lists!$N$6,"dd/mm/yyyy")),"Call them, then mark Won, Lost or Expired"))))))</f>
        <v/>
      </c>
      <c r="M145" s="38"/>
      <c r="N145" s="42" t="n">
        <f aca="false">IF(I145="Won",IF(K145&lt;&gt;"",K145,N(E145)),0)</f>
        <v>0</v>
      </c>
      <c r="O145" s="42" t="str">
        <f aca="false">IF(ISNUMBER(F145),IF(F145&gt;Lists!$N$6,D145+ROW()/100000,""),"")</f>
        <v/>
      </c>
    </row>
    <row r="146" customFormat="false" ht="27.75" hidden="false" customHeight="true" outlineLevel="0" collapsed="false">
      <c r="A146" s="38"/>
      <c r="B146" s="38"/>
      <c r="C146" s="41"/>
      <c r="D146" s="39"/>
      <c r="E146" s="44"/>
      <c r="F146" s="47" t="str">
        <f aca="true">IF(D146="","",IF(OR(I146="",I146="Sent"),TODAY()-D146,""))</f>
        <v/>
      </c>
      <c r="G146" s="39"/>
      <c r="H146" s="39"/>
      <c r="I146" s="41"/>
      <c r="J146" s="39"/>
      <c r="K146" s="44"/>
      <c r="L146" s="42" t="str">
        <f aca="true">IF(D146="","",IF(AND(OR(I146="Won",I146="Lost"),J146=""),"Add the decision date",IF(I146="Won","Won – book the work in",IF(NOT(OR(I146="",I146="Sent")),"Closed – note why in Notes",IF(G146="",IF(F146&gt;=Lists!$N$6,"Chase now (1st chase)","Wait – 1st chase on "&amp;TEXT(D146+Lists!$N$6,"dd/mm/yyyy")),IF(H146="",IF(TODAY()-G146&gt;=Lists!$N$6,"Chase again (2nd chase)","Wait – 2nd chase on "&amp;TEXT(G146+Lists!$N$6,"dd/mm/yyyy")),"Call them, then mark Won, Lost or Expired"))))))</f>
        <v/>
      </c>
      <c r="M146" s="38"/>
      <c r="N146" s="42" t="n">
        <f aca="false">IF(I146="Won",IF(K146&lt;&gt;"",K146,N(E146)),0)</f>
        <v>0</v>
      </c>
      <c r="O146" s="42" t="str">
        <f aca="false">IF(ISNUMBER(F146),IF(F146&gt;Lists!$N$6,D146+ROW()/100000,""),"")</f>
        <v/>
      </c>
    </row>
    <row r="147" customFormat="false" ht="27.75" hidden="false" customHeight="true" outlineLevel="0" collapsed="false">
      <c r="A147" s="38"/>
      <c r="B147" s="38"/>
      <c r="C147" s="41"/>
      <c r="D147" s="39"/>
      <c r="E147" s="44"/>
      <c r="F147" s="47" t="str">
        <f aca="true">IF(D147="","",IF(OR(I147="",I147="Sent"),TODAY()-D147,""))</f>
        <v/>
      </c>
      <c r="G147" s="39"/>
      <c r="H147" s="39"/>
      <c r="I147" s="41"/>
      <c r="J147" s="39"/>
      <c r="K147" s="44"/>
      <c r="L147" s="42" t="str">
        <f aca="true">IF(D147="","",IF(AND(OR(I147="Won",I147="Lost"),J147=""),"Add the decision date",IF(I147="Won","Won – book the work in",IF(NOT(OR(I147="",I147="Sent")),"Closed – note why in Notes",IF(G147="",IF(F147&gt;=Lists!$N$6,"Chase now (1st chase)","Wait – 1st chase on "&amp;TEXT(D147+Lists!$N$6,"dd/mm/yyyy")),IF(H147="",IF(TODAY()-G147&gt;=Lists!$N$6,"Chase again (2nd chase)","Wait – 2nd chase on "&amp;TEXT(G147+Lists!$N$6,"dd/mm/yyyy")),"Call them, then mark Won, Lost or Expired"))))))</f>
        <v/>
      </c>
      <c r="M147" s="38"/>
      <c r="N147" s="42" t="n">
        <f aca="false">IF(I147="Won",IF(K147&lt;&gt;"",K147,N(E147)),0)</f>
        <v>0</v>
      </c>
      <c r="O147" s="42" t="str">
        <f aca="false">IF(ISNUMBER(F147),IF(F147&gt;Lists!$N$6,D147+ROW()/100000,""),"")</f>
        <v/>
      </c>
    </row>
    <row r="148" customFormat="false" ht="27.75" hidden="false" customHeight="true" outlineLevel="0" collapsed="false">
      <c r="A148" s="38"/>
      <c r="B148" s="38"/>
      <c r="C148" s="41"/>
      <c r="D148" s="39"/>
      <c r="E148" s="44"/>
      <c r="F148" s="47" t="str">
        <f aca="true">IF(D148="","",IF(OR(I148="",I148="Sent"),TODAY()-D148,""))</f>
        <v/>
      </c>
      <c r="G148" s="39"/>
      <c r="H148" s="39"/>
      <c r="I148" s="41"/>
      <c r="J148" s="39"/>
      <c r="K148" s="44"/>
      <c r="L148" s="42" t="str">
        <f aca="true">IF(D148="","",IF(AND(OR(I148="Won",I148="Lost"),J148=""),"Add the decision date",IF(I148="Won","Won – book the work in",IF(NOT(OR(I148="",I148="Sent")),"Closed – note why in Notes",IF(G148="",IF(F148&gt;=Lists!$N$6,"Chase now (1st chase)","Wait – 1st chase on "&amp;TEXT(D148+Lists!$N$6,"dd/mm/yyyy")),IF(H148="",IF(TODAY()-G148&gt;=Lists!$N$6,"Chase again (2nd chase)","Wait – 2nd chase on "&amp;TEXT(G148+Lists!$N$6,"dd/mm/yyyy")),"Call them, then mark Won, Lost or Expired"))))))</f>
        <v/>
      </c>
      <c r="M148" s="38"/>
      <c r="N148" s="42" t="n">
        <f aca="false">IF(I148="Won",IF(K148&lt;&gt;"",K148,N(E148)),0)</f>
        <v>0</v>
      </c>
      <c r="O148" s="42" t="str">
        <f aca="false">IF(ISNUMBER(F148),IF(F148&gt;Lists!$N$6,D148+ROW()/100000,""),"")</f>
        <v/>
      </c>
    </row>
    <row r="149" customFormat="false" ht="27.75" hidden="false" customHeight="true" outlineLevel="0" collapsed="false">
      <c r="A149" s="38"/>
      <c r="B149" s="38"/>
      <c r="C149" s="41"/>
      <c r="D149" s="39"/>
      <c r="E149" s="44"/>
      <c r="F149" s="47" t="str">
        <f aca="true">IF(D149="","",IF(OR(I149="",I149="Sent"),TODAY()-D149,""))</f>
        <v/>
      </c>
      <c r="G149" s="39"/>
      <c r="H149" s="39"/>
      <c r="I149" s="41"/>
      <c r="J149" s="39"/>
      <c r="K149" s="44"/>
      <c r="L149" s="42" t="str">
        <f aca="true">IF(D149="","",IF(AND(OR(I149="Won",I149="Lost"),J149=""),"Add the decision date",IF(I149="Won","Won – book the work in",IF(NOT(OR(I149="",I149="Sent")),"Closed – note why in Notes",IF(G149="",IF(F149&gt;=Lists!$N$6,"Chase now (1st chase)","Wait – 1st chase on "&amp;TEXT(D149+Lists!$N$6,"dd/mm/yyyy")),IF(H149="",IF(TODAY()-G149&gt;=Lists!$N$6,"Chase again (2nd chase)","Wait – 2nd chase on "&amp;TEXT(G149+Lists!$N$6,"dd/mm/yyyy")),"Call them, then mark Won, Lost or Expired"))))))</f>
        <v/>
      </c>
      <c r="M149" s="38"/>
      <c r="N149" s="42" t="n">
        <f aca="false">IF(I149="Won",IF(K149&lt;&gt;"",K149,N(E149)),0)</f>
        <v>0</v>
      </c>
      <c r="O149" s="42" t="str">
        <f aca="false">IF(ISNUMBER(F149),IF(F149&gt;Lists!$N$6,D149+ROW()/100000,""),"")</f>
        <v/>
      </c>
    </row>
    <row r="150" customFormat="false" ht="27.75" hidden="false" customHeight="true" outlineLevel="0" collapsed="false">
      <c r="A150" s="38"/>
      <c r="B150" s="38"/>
      <c r="C150" s="41"/>
      <c r="D150" s="39"/>
      <c r="E150" s="44"/>
      <c r="F150" s="47" t="str">
        <f aca="true">IF(D150="","",IF(OR(I150="",I150="Sent"),TODAY()-D150,""))</f>
        <v/>
      </c>
      <c r="G150" s="39"/>
      <c r="H150" s="39"/>
      <c r="I150" s="41"/>
      <c r="J150" s="39"/>
      <c r="K150" s="44"/>
      <c r="L150" s="42" t="str">
        <f aca="true">IF(D150="","",IF(AND(OR(I150="Won",I150="Lost"),J150=""),"Add the decision date",IF(I150="Won","Won – book the work in",IF(NOT(OR(I150="",I150="Sent")),"Closed – note why in Notes",IF(G150="",IF(F150&gt;=Lists!$N$6,"Chase now (1st chase)","Wait – 1st chase on "&amp;TEXT(D150+Lists!$N$6,"dd/mm/yyyy")),IF(H150="",IF(TODAY()-G150&gt;=Lists!$N$6,"Chase again (2nd chase)","Wait – 2nd chase on "&amp;TEXT(G150+Lists!$N$6,"dd/mm/yyyy")),"Call them, then mark Won, Lost or Expired"))))))</f>
        <v/>
      </c>
      <c r="M150" s="38"/>
      <c r="N150" s="42" t="n">
        <f aca="false">IF(I150="Won",IF(K150&lt;&gt;"",K150,N(E150)),0)</f>
        <v>0</v>
      </c>
      <c r="O150" s="42" t="str">
        <f aca="false">IF(ISNUMBER(F150),IF(F150&gt;Lists!$N$6,D150+ROW()/100000,""),"")</f>
        <v/>
      </c>
    </row>
    <row r="151" customFormat="false" ht="27.75" hidden="false" customHeight="true" outlineLevel="0" collapsed="false">
      <c r="A151" s="38"/>
      <c r="B151" s="38"/>
      <c r="C151" s="41"/>
      <c r="D151" s="39"/>
      <c r="E151" s="44"/>
      <c r="F151" s="47" t="str">
        <f aca="true">IF(D151="","",IF(OR(I151="",I151="Sent"),TODAY()-D151,""))</f>
        <v/>
      </c>
      <c r="G151" s="39"/>
      <c r="H151" s="39"/>
      <c r="I151" s="41"/>
      <c r="J151" s="39"/>
      <c r="K151" s="44"/>
      <c r="L151" s="42" t="str">
        <f aca="true">IF(D151="","",IF(AND(OR(I151="Won",I151="Lost"),J151=""),"Add the decision date",IF(I151="Won","Won – book the work in",IF(NOT(OR(I151="",I151="Sent")),"Closed – note why in Notes",IF(G151="",IF(F151&gt;=Lists!$N$6,"Chase now (1st chase)","Wait – 1st chase on "&amp;TEXT(D151+Lists!$N$6,"dd/mm/yyyy")),IF(H151="",IF(TODAY()-G151&gt;=Lists!$N$6,"Chase again (2nd chase)","Wait – 2nd chase on "&amp;TEXT(G151+Lists!$N$6,"dd/mm/yyyy")),"Call them, then mark Won, Lost or Expired"))))))</f>
        <v/>
      </c>
      <c r="M151" s="38"/>
      <c r="N151" s="42" t="n">
        <f aca="false">IF(I151="Won",IF(K151&lt;&gt;"",K151,N(E151)),0)</f>
        <v>0</v>
      </c>
      <c r="O151" s="42" t="str">
        <f aca="false">IF(ISNUMBER(F151),IF(F151&gt;Lists!$N$6,D151+ROW()/100000,""),"")</f>
        <v/>
      </c>
    </row>
    <row r="152" customFormat="false" ht="27.75" hidden="false" customHeight="true" outlineLevel="0" collapsed="false">
      <c r="A152" s="38"/>
      <c r="B152" s="38"/>
      <c r="C152" s="41"/>
      <c r="D152" s="39"/>
      <c r="E152" s="44"/>
      <c r="F152" s="47" t="str">
        <f aca="true">IF(D152="","",IF(OR(I152="",I152="Sent"),TODAY()-D152,""))</f>
        <v/>
      </c>
      <c r="G152" s="39"/>
      <c r="H152" s="39"/>
      <c r="I152" s="41"/>
      <c r="J152" s="39"/>
      <c r="K152" s="44"/>
      <c r="L152" s="42" t="str">
        <f aca="true">IF(D152="","",IF(AND(OR(I152="Won",I152="Lost"),J152=""),"Add the decision date",IF(I152="Won","Won – book the work in",IF(NOT(OR(I152="",I152="Sent")),"Closed – note why in Notes",IF(G152="",IF(F152&gt;=Lists!$N$6,"Chase now (1st chase)","Wait – 1st chase on "&amp;TEXT(D152+Lists!$N$6,"dd/mm/yyyy")),IF(H152="",IF(TODAY()-G152&gt;=Lists!$N$6,"Chase again (2nd chase)","Wait – 2nd chase on "&amp;TEXT(G152+Lists!$N$6,"dd/mm/yyyy")),"Call them, then mark Won, Lost or Expired"))))))</f>
        <v/>
      </c>
      <c r="M152" s="38"/>
      <c r="N152" s="42" t="n">
        <f aca="false">IF(I152="Won",IF(K152&lt;&gt;"",K152,N(E152)),0)</f>
        <v>0</v>
      </c>
      <c r="O152" s="42" t="str">
        <f aca="false">IF(ISNUMBER(F152),IF(F152&gt;Lists!$N$6,D152+ROW()/100000,""),"")</f>
        <v/>
      </c>
    </row>
    <row r="153" customFormat="false" ht="27.75" hidden="false" customHeight="true" outlineLevel="0" collapsed="false">
      <c r="A153" s="38"/>
      <c r="B153" s="38"/>
      <c r="C153" s="41"/>
      <c r="D153" s="39"/>
      <c r="E153" s="44"/>
      <c r="F153" s="47" t="str">
        <f aca="true">IF(D153="","",IF(OR(I153="",I153="Sent"),TODAY()-D153,""))</f>
        <v/>
      </c>
      <c r="G153" s="39"/>
      <c r="H153" s="39"/>
      <c r="I153" s="41"/>
      <c r="J153" s="39"/>
      <c r="K153" s="44"/>
      <c r="L153" s="42" t="str">
        <f aca="true">IF(D153="","",IF(AND(OR(I153="Won",I153="Lost"),J153=""),"Add the decision date",IF(I153="Won","Won – book the work in",IF(NOT(OR(I153="",I153="Sent")),"Closed – note why in Notes",IF(G153="",IF(F153&gt;=Lists!$N$6,"Chase now (1st chase)","Wait – 1st chase on "&amp;TEXT(D153+Lists!$N$6,"dd/mm/yyyy")),IF(H153="",IF(TODAY()-G153&gt;=Lists!$N$6,"Chase again (2nd chase)","Wait – 2nd chase on "&amp;TEXT(G153+Lists!$N$6,"dd/mm/yyyy")),"Call them, then mark Won, Lost or Expired"))))))</f>
        <v/>
      </c>
      <c r="M153" s="38"/>
      <c r="N153" s="42" t="n">
        <f aca="false">IF(I153="Won",IF(K153&lt;&gt;"",K153,N(E153)),0)</f>
        <v>0</v>
      </c>
      <c r="O153" s="42" t="str">
        <f aca="false">IF(ISNUMBER(F153),IF(F153&gt;Lists!$N$6,D153+ROW()/100000,""),"")</f>
        <v/>
      </c>
    </row>
    <row r="154" customFormat="false" ht="27.75" hidden="false" customHeight="true" outlineLevel="0" collapsed="false">
      <c r="A154" s="38"/>
      <c r="B154" s="38"/>
      <c r="C154" s="41"/>
      <c r="D154" s="39"/>
      <c r="E154" s="44"/>
      <c r="F154" s="47" t="str">
        <f aca="true">IF(D154="","",IF(OR(I154="",I154="Sent"),TODAY()-D154,""))</f>
        <v/>
      </c>
      <c r="G154" s="39"/>
      <c r="H154" s="39"/>
      <c r="I154" s="41"/>
      <c r="J154" s="39"/>
      <c r="K154" s="44"/>
      <c r="L154" s="42" t="str">
        <f aca="true">IF(D154="","",IF(AND(OR(I154="Won",I154="Lost"),J154=""),"Add the decision date",IF(I154="Won","Won – book the work in",IF(NOT(OR(I154="",I154="Sent")),"Closed – note why in Notes",IF(G154="",IF(F154&gt;=Lists!$N$6,"Chase now (1st chase)","Wait – 1st chase on "&amp;TEXT(D154+Lists!$N$6,"dd/mm/yyyy")),IF(H154="",IF(TODAY()-G154&gt;=Lists!$N$6,"Chase again (2nd chase)","Wait – 2nd chase on "&amp;TEXT(G154+Lists!$N$6,"dd/mm/yyyy")),"Call them, then mark Won, Lost or Expired"))))))</f>
        <v/>
      </c>
      <c r="M154" s="38"/>
      <c r="N154" s="42" t="n">
        <f aca="false">IF(I154="Won",IF(K154&lt;&gt;"",K154,N(E154)),0)</f>
        <v>0</v>
      </c>
      <c r="O154" s="42" t="str">
        <f aca="false">IF(ISNUMBER(F154),IF(F154&gt;Lists!$N$6,D154+ROW()/100000,""),"")</f>
        <v/>
      </c>
    </row>
    <row r="155" customFormat="false" ht="27.75" hidden="false" customHeight="true" outlineLevel="0" collapsed="false">
      <c r="A155" s="38"/>
      <c r="B155" s="38"/>
      <c r="C155" s="41"/>
      <c r="D155" s="39"/>
      <c r="E155" s="44"/>
      <c r="F155" s="47" t="str">
        <f aca="true">IF(D155="","",IF(OR(I155="",I155="Sent"),TODAY()-D155,""))</f>
        <v/>
      </c>
      <c r="G155" s="39"/>
      <c r="H155" s="39"/>
      <c r="I155" s="41"/>
      <c r="J155" s="39"/>
      <c r="K155" s="44"/>
      <c r="L155" s="42" t="str">
        <f aca="true">IF(D155="","",IF(AND(OR(I155="Won",I155="Lost"),J155=""),"Add the decision date",IF(I155="Won","Won – book the work in",IF(NOT(OR(I155="",I155="Sent")),"Closed – note why in Notes",IF(G155="",IF(F155&gt;=Lists!$N$6,"Chase now (1st chase)","Wait – 1st chase on "&amp;TEXT(D155+Lists!$N$6,"dd/mm/yyyy")),IF(H155="",IF(TODAY()-G155&gt;=Lists!$N$6,"Chase again (2nd chase)","Wait – 2nd chase on "&amp;TEXT(G155+Lists!$N$6,"dd/mm/yyyy")),"Call them, then mark Won, Lost or Expired"))))))</f>
        <v/>
      </c>
      <c r="M155" s="38"/>
      <c r="N155" s="42" t="n">
        <f aca="false">IF(I155="Won",IF(K155&lt;&gt;"",K155,N(E155)),0)</f>
        <v>0</v>
      </c>
      <c r="O155" s="42" t="str">
        <f aca="false">IF(ISNUMBER(F155),IF(F155&gt;Lists!$N$6,D155+ROW()/100000,""),"")</f>
        <v/>
      </c>
    </row>
    <row r="156" customFormat="false" ht="27.75" hidden="false" customHeight="true" outlineLevel="0" collapsed="false">
      <c r="A156" s="38"/>
      <c r="B156" s="38"/>
      <c r="C156" s="41"/>
      <c r="D156" s="39"/>
      <c r="E156" s="44"/>
      <c r="F156" s="47" t="str">
        <f aca="true">IF(D156="","",IF(OR(I156="",I156="Sent"),TODAY()-D156,""))</f>
        <v/>
      </c>
      <c r="G156" s="39"/>
      <c r="H156" s="39"/>
      <c r="I156" s="41"/>
      <c r="J156" s="39"/>
      <c r="K156" s="44"/>
      <c r="L156" s="42" t="str">
        <f aca="true">IF(D156="","",IF(AND(OR(I156="Won",I156="Lost"),J156=""),"Add the decision date",IF(I156="Won","Won – book the work in",IF(NOT(OR(I156="",I156="Sent")),"Closed – note why in Notes",IF(G156="",IF(F156&gt;=Lists!$N$6,"Chase now (1st chase)","Wait – 1st chase on "&amp;TEXT(D156+Lists!$N$6,"dd/mm/yyyy")),IF(H156="",IF(TODAY()-G156&gt;=Lists!$N$6,"Chase again (2nd chase)","Wait – 2nd chase on "&amp;TEXT(G156+Lists!$N$6,"dd/mm/yyyy")),"Call them, then mark Won, Lost or Expired"))))))</f>
        <v/>
      </c>
      <c r="M156" s="38"/>
      <c r="N156" s="42" t="n">
        <f aca="false">IF(I156="Won",IF(K156&lt;&gt;"",K156,N(E156)),0)</f>
        <v>0</v>
      </c>
      <c r="O156" s="42" t="str">
        <f aca="false">IF(ISNUMBER(F156),IF(F156&gt;Lists!$N$6,D156+ROW()/100000,""),"")</f>
        <v/>
      </c>
    </row>
    <row r="157" customFormat="false" ht="27.75" hidden="false" customHeight="true" outlineLevel="0" collapsed="false">
      <c r="A157" s="38"/>
      <c r="B157" s="38"/>
      <c r="C157" s="41"/>
      <c r="D157" s="39"/>
      <c r="E157" s="44"/>
      <c r="F157" s="47" t="str">
        <f aca="true">IF(D157="","",IF(OR(I157="",I157="Sent"),TODAY()-D157,""))</f>
        <v/>
      </c>
      <c r="G157" s="39"/>
      <c r="H157" s="39"/>
      <c r="I157" s="41"/>
      <c r="J157" s="39"/>
      <c r="K157" s="44"/>
      <c r="L157" s="42" t="str">
        <f aca="true">IF(D157="","",IF(AND(OR(I157="Won",I157="Lost"),J157=""),"Add the decision date",IF(I157="Won","Won – book the work in",IF(NOT(OR(I157="",I157="Sent")),"Closed – note why in Notes",IF(G157="",IF(F157&gt;=Lists!$N$6,"Chase now (1st chase)","Wait – 1st chase on "&amp;TEXT(D157+Lists!$N$6,"dd/mm/yyyy")),IF(H157="",IF(TODAY()-G157&gt;=Lists!$N$6,"Chase again (2nd chase)","Wait – 2nd chase on "&amp;TEXT(G157+Lists!$N$6,"dd/mm/yyyy")),"Call them, then mark Won, Lost or Expired"))))))</f>
        <v/>
      </c>
      <c r="M157" s="38"/>
      <c r="N157" s="42" t="n">
        <f aca="false">IF(I157="Won",IF(K157&lt;&gt;"",K157,N(E157)),0)</f>
        <v>0</v>
      </c>
      <c r="O157" s="42" t="str">
        <f aca="false">IF(ISNUMBER(F157),IF(F157&gt;Lists!$N$6,D157+ROW()/100000,""),"")</f>
        <v/>
      </c>
    </row>
    <row r="158" customFormat="false" ht="27.75" hidden="false" customHeight="true" outlineLevel="0" collapsed="false">
      <c r="A158" s="38"/>
      <c r="B158" s="38"/>
      <c r="C158" s="41"/>
      <c r="D158" s="39"/>
      <c r="E158" s="44"/>
      <c r="F158" s="47" t="str">
        <f aca="true">IF(D158="","",IF(OR(I158="",I158="Sent"),TODAY()-D158,""))</f>
        <v/>
      </c>
      <c r="G158" s="39"/>
      <c r="H158" s="39"/>
      <c r="I158" s="41"/>
      <c r="J158" s="39"/>
      <c r="K158" s="44"/>
      <c r="L158" s="42" t="str">
        <f aca="true">IF(D158="","",IF(AND(OR(I158="Won",I158="Lost"),J158=""),"Add the decision date",IF(I158="Won","Won – book the work in",IF(NOT(OR(I158="",I158="Sent")),"Closed – note why in Notes",IF(G158="",IF(F158&gt;=Lists!$N$6,"Chase now (1st chase)","Wait – 1st chase on "&amp;TEXT(D158+Lists!$N$6,"dd/mm/yyyy")),IF(H158="",IF(TODAY()-G158&gt;=Lists!$N$6,"Chase again (2nd chase)","Wait – 2nd chase on "&amp;TEXT(G158+Lists!$N$6,"dd/mm/yyyy")),"Call them, then mark Won, Lost or Expired"))))))</f>
        <v/>
      </c>
      <c r="M158" s="38"/>
      <c r="N158" s="42" t="n">
        <f aca="false">IF(I158="Won",IF(K158&lt;&gt;"",K158,N(E158)),0)</f>
        <v>0</v>
      </c>
      <c r="O158" s="42" t="str">
        <f aca="false">IF(ISNUMBER(F158),IF(F158&gt;Lists!$N$6,D158+ROW()/100000,""),"")</f>
        <v/>
      </c>
    </row>
    <row r="159" customFormat="false" ht="27.75" hidden="false" customHeight="true" outlineLevel="0" collapsed="false">
      <c r="A159" s="38"/>
      <c r="B159" s="38"/>
      <c r="C159" s="41"/>
      <c r="D159" s="39"/>
      <c r="E159" s="44"/>
      <c r="F159" s="47" t="str">
        <f aca="true">IF(D159="","",IF(OR(I159="",I159="Sent"),TODAY()-D159,""))</f>
        <v/>
      </c>
      <c r="G159" s="39"/>
      <c r="H159" s="39"/>
      <c r="I159" s="41"/>
      <c r="J159" s="39"/>
      <c r="K159" s="44"/>
      <c r="L159" s="42" t="str">
        <f aca="true">IF(D159="","",IF(AND(OR(I159="Won",I159="Lost"),J159=""),"Add the decision date",IF(I159="Won","Won – book the work in",IF(NOT(OR(I159="",I159="Sent")),"Closed – note why in Notes",IF(G159="",IF(F159&gt;=Lists!$N$6,"Chase now (1st chase)","Wait – 1st chase on "&amp;TEXT(D159+Lists!$N$6,"dd/mm/yyyy")),IF(H159="",IF(TODAY()-G159&gt;=Lists!$N$6,"Chase again (2nd chase)","Wait – 2nd chase on "&amp;TEXT(G159+Lists!$N$6,"dd/mm/yyyy")),"Call them, then mark Won, Lost or Expired"))))))</f>
        <v/>
      </c>
      <c r="M159" s="38"/>
      <c r="N159" s="42" t="n">
        <f aca="false">IF(I159="Won",IF(K159&lt;&gt;"",K159,N(E159)),0)</f>
        <v>0</v>
      </c>
      <c r="O159" s="42" t="str">
        <f aca="false">IF(ISNUMBER(F159),IF(F159&gt;Lists!$N$6,D159+ROW()/100000,""),"")</f>
        <v/>
      </c>
    </row>
    <row r="160" customFormat="false" ht="27.75" hidden="false" customHeight="true" outlineLevel="0" collapsed="false">
      <c r="A160" s="38"/>
      <c r="B160" s="38"/>
      <c r="C160" s="41"/>
      <c r="D160" s="39"/>
      <c r="E160" s="44"/>
      <c r="F160" s="47" t="str">
        <f aca="true">IF(D160="","",IF(OR(I160="",I160="Sent"),TODAY()-D160,""))</f>
        <v/>
      </c>
      <c r="G160" s="39"/>
      <c r="H160" s="39"/>
      <c r="I160" s="41"/>
      <c r="J160" s="39"/>
      <c r="K160" s="44"/>
      <c r="L160" s="42" t="str">
        <f aca="true">IF(D160="","",IF(AND(OR(I160="Won",I160="Lost"),J160=""),"Add the decision date",IF(I160="Won","Won – book the work in",IF(NOT(OR(I160="",I160="Sent")),"Closed – note why in Notes",IF(G160="",IF(F160&gt;=Lists!$N$6,"Chase now (1st chase)","Wait – 1st chase on "&amp;TEXT(D160+Lists!$N$6,"dd/mm/yyyy")),IF(H160="",IF(TODAY()-G160&gt;=Lists!$N$6,"Chase again (2nd chase)","Wait – 2nd chase on "&amp;TEXT(G160+Lists!$N$6,"dd/mm/yyyy")),"Call them, then mark Won, Lost or Expired"))))))</f>
        <v/>
      </c>
      <c r="M160" s="38"/>
      <c r="N160" s="42" t="n">
        <f aca="false">IF(I160="Won",IF(K160&lt;&gt;"",K160,N(E160)),0)</f>
        <v>0</v>
      </c>
      <c r="O160" s="42" t="str">
        <f aca="false">IF(ISNUMBER(F160),IF(F160&gt;Lists!$N$6,D160+ROW()/100000,""),"")</f>
        <v/>
      </c>
    </row>
    <row r="161" customFormat="false" ht="27.75" hidden="false" customHeight="true" outlineLevel="0" collapsed="false">
      <c r="A161" s="38"/>
      <c r="B161" s="38"/>
      <c r="C161" s="41"/>
      <c r="D161" s="39"/>
      <c r="E161" s="44"/>
      <c r="F161" s="47" t="str">
        <f aca="true">IF(D161="","",IF(OR(I161="",I161="Sent"),TODAY()-D161,""))</f>
        <v/>
      </c>
      <c r="G161" s="39"/>
      <c r="H161" s="39"/>
      <c r="I161" s="41"/>
      <c r="J161" s="39"/>
      <c r="K161" s="44"/>
      <c r="L161" s="42" t="str">
        <f aca="true">IF(D161="","",IF(AND(OR(I161="Won",I161="Lost"),J161=""),"Add the decision date",IF(I161="Won","Won – book the work in",IF(NOT(OR(I161="",I161="Sent")),"Closed – note why in Notes",IF(G161="",IF(F161&gt;=Lists!$N$6,"Chase now (1st chase)","Wait – 1st chase on "&amp;TEXT(D161+Lists!$N$6,"dd/mm/yyyy")),IF(H161="",IF(TODAY()-G161&gt;=Lists!$N$6,"Chase again (2nd chase)","Wait – 2nd chase on "&amp;TEXT(G161+Lists!$N$6,"dd/mm/yyyy")),"Call them, then mark Won, Lost or Expired"))))))</f>
        <v/>
      </c>
      <c r="M161" s="38"/>
      <c r="N161" s="42" t="n">
        <f aca="false">IF(I161="Won",IF(K161&lt;&gt;"",K161,N(E161)),0)</f>
        <v>0</v>
      </c>
      <c r="O161" s="42" t="str">
        <f aca="false">IF(ISNUMBER(F161),IF(F161&gt;Lists!$N$6,D161+ROW()/100000,""),"")</f>
        <v/>
      </c>
    </row>
    <row r="162" customFormat="false" ht="27.75" hidden="false" customHeight="true" outlineLevel="0" collapsed="false">
      <c r="A162" s="38"/>
      <c r="B162" s="38"/>
      <c r="C162" s="41"/>
      <c r="D162" s="39"/>
      <c r="E162" s="44"/>
      <c r="F162" s="47" t="str">
        <f aca="true">IF(D162="","",IF(OR(I162="",I162="Sent"),TODAY()-D162,""))</f>
        <v/>
      </c>
      <c r="G162" s="39"/>
      <c r="H162" s="39"/>
      <c r="I162" s="41"/>
      <c r="J162" s="39"/>
      <c r="K162" s="44"/>
      <c r="L162" s="42" t="str">
        <f aca="true">IF(D162="","",IF(AND(OR(I162="Won",I162="Lost"),J162=""),"Add the decision date",IF(I162="Won","Won – book the work in",IF(NOT(OR(I162="",I162="Sent")),"Closed – note why in Notes",IF(G162="",IF(F162&gt;=Lists!$N$6,"Chase now (1st chase)","Wait – 1st chase on "&amp;TEXT(D162+Lists!$N$6,"dd/mm/yyyy")),IF(H162="",IF(TODAY()-G162&gt;=Lists!$N$6,"Chase again (2nd chase)","Wait – 2nd chase on "&amp;TEXT(G162+Lists!$N$6,"dd/mm/yyyy")),"Call them, then mark Won, Lost or Expired"))))))</f>
        <v/>
      </c>
      <c r="M162" s="38"/>
      <c r="N162" s="42" t="n">
        <f aca="false">IF(I162="Won",IF(K162&lt;&gt;"",K162,N(E162)),0)</f>
        <v>0</v>
      </c>
      <c r="O162" s="42" t="str">
        <f aca="false">IF(ISNUMBER(F162),IF(F162&gt;Lists!$N$6,D162+ROW()/100000,""),"")</f>
        <v/>
      </c>
    </row>
    <row r="163" customFormat="false" ht="27.75" hidden="false" customHeight="true" outlineLevel="0" collapsed="false">
      <c r="A163" s="38"/>
      <c r="B163" s="38"/>
      <c r="C163" s="41"/>
      <c r="D163" s="39"/>
      <c r="E163" s="44"/>
      <c r="F163" s="47" t="str">
        <f aca="true">IF(D163="","",IF(OR(I163="",I163="Sent"),TODAY()-D163,""))</f>
        <v/>
      </c>
      <c r="G163" s="39"/>
      <c r="H163" s="39"/>
      <c r="I163" s="41"/>
      <c r="J163" s="39"/>
      <c r="K163" s="44"/>
      <c r="L163" s="42" t="str">
        <f aca="true">IF(D163="","",IF(AND(OR(I163="Won",I163="Lost"),J163=""),"Add the decision date",IF(I163="Won","Won – book the work in",IF(NOT(OR(I163="",I163="Sent")),"Closed – note why in Notes",IF(G163="",IF(F163&gt;=Lists!$N$6,"Chase now (1st chase)","Wait – 1st chase on "&amp;TEXT(D163+Lists!$N$6,"dd/mm/yyyy")),IF(H163="",IF(TODAY()-G163&gt;=Lists!$N$6,"Chase again (2nd chase)","Wait – 2nd chase on "&amp;TEXT(G163+Lists!$N$6,"dd/mm/yyyy")),"Call them, then mark Won, Lost or Expired"))))))</f>
        <v/>
      </c>
      <c r="M163" s="38"/>
      <c r="N163" s="42" t="n">
        <f aca="false">IF(I163="Won",IF(K163&lt;&gt;"",K163,N(E163)),0)</f>
        <v>0</v>
      </c>
      <c r="O163" s="42" t="str">
        <f aca="false">IF(ISNUMBER(F163),IF(F163&gt;Lists!$N$6,D163+ROW()/100000,""),"")</f>
        <v/>
      </c>
    </row>
    <row r="164" customFormat="false" ht="27.75" hidden="false" customHeight="true" outlineLevel="0" collapsed="false">
      <c r="A164" s="38"/>
      <c r="B164" s="38"/>
      <c r="C164" s="41"/>
      <c r="D164" s="39"/>
      <c r="E164" s="44"/>
      <c r="F164" s="47" t="str">
        <f aca="true">IF(D164="","",IF(OR(I164="",I164="Sent"),TODAY()-D164,""))</f>
        <v/>
      </c>
      <c r="G164" s="39"/>
      <c r="H164" s="39"/>
      <c r="I164" s="41"/>
      <c r="J164" s="39"/>
      <c r="K164" s="44"/>
      <c r="L164" s="42" t="str">
        <f aca="true">IF(D164="","",IF(AND(OR(I164="Won",I164="Lost"),J164=""),"Add the decision date",IF(I164="Won","Won – book the work in",IF(NOT(OR(I164="",I164="Sent")),"Closed – note why in Notes",IF(G164="",IF(F164&gt;=Lists!$N$6,"Chase now (1st chase)","Wait – 1st chase on "&amp;TEXT(D164+Lists!$N$6,"dd/mm/yyyy")),IF(H164="",IF(TODAY()-G164&gt;=Lists!$N$6,"Chase again (2nd chase)","Wait – 2nd chase on "&amp;TEXT(G164+Lists!$N$6,"dd/mm/yyyy")),"Call them, then mark Won, Lost or Expired"))))))</f>
        <v/>
      </c>
      <c r="M164" s="38"/>
      <c r="N164" s="42" t="n">
        <f aca="false">IF(I164="Won",IF(K164&lt;&gt;"",K164,N(E164)),0)</f>
        <v>0</v>
      </c>
      <c r="O164" s="42" t="str">
        <f aca="false">IF(ISNUMBER(F164),IF(F164&gt;Lists!$N$6,D164+ROW()/100000,""),"")</f>
        <v/>
      </c>
    </row>
    <row r="165" customFormat="false" ht="27.75" hidden="false" customHeight="true" outlineLevel="0" collapsed="false">
      <c r="A165" s="38"/>
      <c r="B165" s="38"/>
      <c r="C165" s="41"/>
      <c r="D165" s="39"/>
      <c r="E165" s="44"/>
      <c r="F165" s="47" t="str">
        <f aca="true">IF(D165="","",IF(OR(I165="",I165="Sent"),TODAY()-D165,""))</f>
        <v/>
      </c>
      <c r="G165" s="39"/>
      <c r="H165" s="39"/>
      <c r="I165" s="41"/>
      <c r="J165" s="39"/>
      <c r="K165" s="44"/>
      <c r="L165" s="42" t="str">
        <f aca="true">IF(D165="","",IF(AND(OR(I165="Won",I165="Lost"),J165=""),"Add the decision date",IF(I165="Won","Won – book the work in",IF(NOT(OR(I165="",I165="Sent")),"Closed – note why in Notes",IF(G165="",IF(F165&gt;=Lists!$N$6,"Chase now (1st chase)","Wait – 1st chase on "&amp;TEXT(D165+Lists!$N$6,"dd/mm/yyyy")),IF(H165="",IF(TODAY()-G165&gt;=Lists!$N$6,"Chase again (2nd chase)","Wait – 2nd chase on "&amp;TEXT(G165+Lists!$N$6,"dd/mm/yyyy")),"Call them, then mark Won, Lost or Expired"))))))</f>
        <v/>
      </c>
      <c r="M165" s="38"/>
      <c r="N165" s="42" t="n">
        <f aca="false">IF(I165="Won",IF(K165&lt;&gt;"",K165,N(E165)),0)</f>
        <v>0</v>
      </c>
      <c r="O165" s="42" t="str">
        <f aca="false">IF(ISNUMBER(F165),IF(F165&gt;Lists!$N$6,D165+ROW()/100000,""),"")</f>
        <v/>
      </c>
    </row>
    <row r="166" customFormat="false" ht="27.75" hidden="false" customHeight="true" outlineLevel="0" collapsed="false">
      <c r="A166" s="38"/>
      <c r="B166" s="38"/>
      <c r="C166" s="41"/>
      <c r="D166" s="39"/>
      <c r="E166" s="44"/>
      <c r="F166" s="47" t="str">
        <f aca="true">IF(D166="","",IF(OR(I166="",I166="Sent"),TODAY()-D166,""))</f>
        <v/>
      </c>
      <c r="G166" s="39"/>
      <c r="H166" s="39"/>
      <c r="I166" s="41"/>
      <c r="J166" s="39"/>
      <c r="K166" s="44"/>
      <c r="L166" s="42" t="str">
        <f aca="true">IF(D166="","",IF(AND(OR(I166="Won",I166="Lost"),J166=""),"Add the decision date",IF(I166="Won","Won – book the work in",IF(NOT(OR(I166="",I166="Sent")),"Closed – note why in Notes",IF(G166="",IF(F166&gt;=Lists!$N$6,"Chase now (1st chase)","Wait – 1st chase on "&amp;TEXT(D166+Lists!$N$6,"dd/mm/yyyy")),IF(H166="",IF(TODAY()-G166&gt;=Lists!$N$6,"Chase again (2nd chase)","Wait – 2nd chase on "&amp;TEXT(G166+Lists!$N$6,"dd/mm/yyyy")),"Call them, then mark Won, Lost or Expired"))))))</f>
        <v/>
      </c>
      <c r="M166" s="38"/>
      <c r="N166" s="42" t="n">
        <f aca="false">IF(I166="Won",IF(K166&lt;&gt;"",K166,N(E166)),0)</f>
        <v>0</v>
      </c>
      <c r="O166" s="42" t="str">
        <f aca="false">IF(ISNUMBER(F166),IF(F166&gt;Lists!$N$6,D166+ROW()/100000,""),"")</f>
        <v/>
      </c>
    </row>
    <row r="167" customFormat="false" ht="27.75" hidden="false" customHeight="true" outlineLevel="0" collapsed="false">
      <c r="A167" s="38"/>
      <c r="B167" s="38"/>
      <c r="C167" s="41"/>
      <c r="D167" s="39"/>
      <c r="E167" s="44"/>
      <c r="F167" s="47" t="str">
        <f aca="true">IF(D167="","",IF(OR(I167="",I167="Sent"),TODAY()-D167,""))</f>
        <v/>
      </c>
      <c r="G167" s="39"/>
      <c r="H167" s="39"/>
      <c r="I167" s="41"/>
      <c r="J167" s="39"/>
      <c r="K167" s="44"/>
      <c r="L167" s="42" t="str">
        <f aca="true">IF(D167="","",IF(AND(OR(I167="Won",I167="Lost"),J167=""),"Add the decision date",IF(I167="Won","Won – book the work in",IF(NOT(OR(I167="",I167="Sent")),"Closed – note why in Notes",IF(G167="",IF(F167&gt;=Lists!$N$6,"Chase now (1st chase)","Wait – 1st chase on "&amp;TEXT(D167+Lists!$N$6,"dd/mm/yyyy")),IF(H167="",IF(TODAY()-G167&gt;=Lists!$N$6,"Chase again (2nd chase)","Wait – 2nd chase on "&amp;TEXT(G167+Lists!$N$6,"dd/mm/yyyy")),"Call them, then mark Won, Lost or Expired"))))))</f>
        <v/>
      </c>
      <c r="M167" s="38"/>
      <c r="N167" s="42" t="n">
        <f aca="false">IF(I167="Won",IF(K167&lt;&gt;"",K167,N(E167)),0)</f>
        <v>0</v>
      </c>
      <c r="O167" s="42" t="str">
        <f aca="false">IF(ISNUMBER(F167),IF(F167&gt;Lists!$N$6,D167+ROW()/100000,""),"")</f>
        <v/>
      </c>
    </row>
    <row r="168" customFormat="false" ht="27.75" hidden="false" customHeight="true" outlineLevel="0" collapsed="false">
      <c r="A168" s="38"/>
      <c r="B168" s="38"/>
      <c r="C168" s="41"/>
      <c r="D168" s="39"/>
      <c r="E168" s="44"/>
      <c r="F168" s="47" t="str">
        <f aca="true">IF(D168="","",IF(OR(I168="",I168="Sent"),TODAY()-D168,""))</f>
        <v/>
      </c>
      <c r="G168" s="39"/>
      <c r="H168" s="39"/>
      <c r="I168" s="41"/>
      <c r="J168" s="39"/>
      <c r="K168" s="44"/>
      <c r="L168" s="42" t="str">
        <f aca="true">IF(D168="","",IF(AND(OR(I168="Won",I168="Lost"),J168=""),"Add the decision date",IF(I168="Won","Won – book the work in",IF(NOT(OR(I168="",I168="Sent")),"Closed – note why in Notes",IF(G168="",IF(F168&gt;=Lists!$N$6,"Chase now (1st chase)","Wait – 1st chase on "&amp;TEXT(D168+Lists!$N$6,"dd/mm/yyyy")),IF(H168="",IF(TODAY()-G168&gt;=Lists!$N$6,"Chase again (2nd chase)","Wait – 2nd chase on "&amp;TEXT(G168+Lists!$N$6,"dd/mm/yyyy")),"Call them, then mark Won, Lost or Expired"))))))</f>
        <v/>
      </c>
      <c r="M168" s="38"/>
      <c r="N168" s="42" t="n">
        <f aca="false">IF(I168="Won",IF(K168&lt;&gt;"",K168,N(E168)),0)</f>
        <v>0</v>
      </c>
      <c r="O168" s="42" t="str">
        <f aca="false">IF(ISNUMBER(F168),IF(F168&gt;Lists!$N$6,D168+ROW()/100000,""),"")</f>
        <v/>
      </c>
    </row>
    <row r="169" customFormat="false" ht="27.75" hidden="false" customHeight="true" outlineLevel="0" collapsed="false">
      <c r="A169" s="38"/>
      <c r="B169" s="38"/>
      <c r="C169" s="41"/>
      <c r="D169" s="39"/>
      <c r="E169" s="44"/>
      <c r="F169" s="47" t="str">
        <f aca="true">IF(D169="","",IF(OR(I169="",I169="Sent"),TODAY()-D169,""))</f>
        <v/>
      </c>
      <c r="G169" s="39"/>
      <c r="H169" s="39"/>
      <c r="I169" s="41"/>
      <c r="J169" s="39"/>
      <c r="K169" s="44"/>
      <c r="L169" s="42" t="str">
        <f aca="true">IF(D169="","",IF(AND(OR(I169="Won",I169="Lost"),J169=""),"Add the decision date",IF(I169="Won","Won – book the work in",IF(NOT(OR(I169="",I169="Sent")),"Closed – note why in Notes",IF(G169="",IF(F169&gt;=Lists!$N$6,"Chase now (1st chase)","Wait – 1st chase on "&amp;TEXT(D169+Lists!$N$6,"dd/mm/yyyy")),IF(H169="",IF(TODAY()-G169&gt;=Lists!$N$6,"Chase again (2nd chase)","Wait – 2nd chase on "&amp;TEXT(G169+Lists!$N$6,"dd/mm/yyyy")),"Call them, then mark Won, Lost or Expired"))))))</f>
        <v/>
      </c>
      <c r="M169" s="38"/>
      <c r="N169" s="42" t="n">
        <f aca="false">IF(I169="Won",IF(K169&lt;&gt;"",K169,N(E169)),0)</f>
        <v>0</v>
      </c>
      <c r="O169" s="42" t="str">
        <f aca="false">IF(ISNUMBER(F169),IF(F169&gt;Lists!$N$6,D169+ROW()/100000,""),"")</f>
        <v/>
      </c>
    </row>
    <row r="170" customFormat="false" ht="27.75" hidden="false" customHeight="true" outlineLevel="0" collapsed="false">
      <c r="A170" s="38"/>
      <c r="B170" s="38"/>
      <c r="C170" s="41"/>
      <c r="D170" s="39"/>
      <c r="E170" s="44"/>
      <c r="F170" s="47" t="str">
        <f aca="true">IF(D170="","",IF(OR(I170="",I170="Sent"),TODAY()-D170,""))</f>
        <v/>
      </c>
      <c r="G170" s="39"/>
      <c r="H170" s="39"/>
      <c r="I170" s="41"/>
      <c r="J170" s="39"/>
      <c r="K170" s="44"/>
      <c r="L170" s="42" t="str">
        <f aca="true">IF(D170="","",IF(AND(OR(I170="Won",I170="Lost"),J170=""),"Add the decision date",IF(I170="Won","Won – book the work in",IF(NOT(OR(I170="",I170="Sent")),"Closed – note why in Notes",IF(G170="",IF(F170&gt;=Lists!$N$6,"Chase now (1st chase)","Wait – 1st chase on "&amp;TEXT(D170+Lists!$N$6,"dd/mm/yyyy")),IF(H170="",IF(TODAY()-G170&gt;=Lists!$N$6,"Chase again (2nd chase)","Wait – 2nd chase on "&amp;TEXT(G170+Lists!$N$6,"dd/mm/yyyy")),"Call them, then mark Won, Lost or Expired"))))))</f>
        <v/>
      </c>
      <c r="M170" s="38"/>
      <c r="N170" s="42" t="n">
        <f aca="false">IF(I170="Won",IF(K170&lt;&gt;"",K170,N(E170)),0)</f>
        <v>0</v>
      </c>
      <c r="O170" s="42" t="str">
        <f aca="false">IF(ISNUMBER(F170),IF(F170&gt;Lists!$N$6,D170+ROW()/100000,""),"")</f>
        <v/>
      </c>
    </row>
    <row r="171" customFormat="false" ht="27.75" hidden="false" customHeight="true" outlineLevel="0" collapsed="false">
      <c r="A171" s="38"/>
      <c r="B171" s="38"/>
      <c r="C171" s="41"/>
      <c r="D171" s="39"/>
      <c r="E171" s="44"/>
      <c r="F171" s="47" t="str">
        <f aca="true">IF(D171="","",IF(OR(I171="",I171="Sent"),TODAY()-D171,""))</f>
        <v/>
      </c>
      <c r="G171" s="39"/>
      <c r="H171" s="39"/>
      <c r="I171" s="41"/>
      <c r="J171" s="39"/>
      <c r="K171" s="44"/>
      <c r="L171" s="42" t="str">
        <f aca="true">IF(D171="","",IF(AND(OR(I171="Won",I171="Lost"),J171=""),"Add the decision date",IF(I171="Won","Won – book the work in",IF(NOT(OR(I171="",I171="Sent")),"Closed – note why in Notes",IF(G171="",IF(F171&gt;=Lists!$N$6,"Chase now (1st chase)","Wait – 1st chase on "&amp;TEXT(D171+Lists!$N$6,"dd/mm/yyyy")),IF(H171="",IF(TODAY()-G171&gt;=Lists!$N$6,"Chase again (2nd chase)","Wait – 2nd chase on "&amp;TEXT(G171+Lists!$N$6,"dd/mm/yyyy")),"Call them, then mark Won, Lost or Expired"))))))</f>
        <v/>
      </c>
      <c r="M171" s="38"/>
      <c r="N171" s="42" t="n">
        <f aca="false">IF(I171="Won",IF(K171&lt;&gt;"",K171,N(E171)),0)</f>
        <v>0</v>
      </c>
      <c r="O171" s="42" t="str">
        <f aca="false">IF(ISNUMBER(F171),IF(F171&gt;Lists!$N$6,D171+ROW()/100000,""),"")</f>
        <v/>
      </c>
    </row>
    <row r="172" customFormat="false" ht="27.75" hidden="false" customHeight="true" outlineLevel="0" collapsed="false">
      <c r="A172" s="38"/>
      <c r="B172" s="38"/>
      <c r="C172" s="41"/>
      <c r="D172" s="39"/>
      <c r="E172" s="44"/>
      <c r="F172" s="47" t="str">
        <f aca="true">IF(D172="","",IF(OR(I172="",I172="Sent"),TODAY()-D172,""))</f>
        <v/>
      </c>
      <c r="G172" s="39"/>
      <c r="H172" s="39"/>
      <c r="I172" s="41"/>
      <c r="J172" s="39"/>
      <c r="K172" s="44"/>
      <c r="L172" s="42" t="str">
        <f aca="true">IF(D172="","",IF(AND(OR(I172="Won",I172="Lost"),J172=""),"Add the decision date",IF(I172="Won","Won – book the work in",IF(NOT(OR(I172="",I172="Sent")),"Closed – note why in Notes",IF(G172="",IF(F172&gt;=Lists!$N$6,"Chase now (1st chase)","Wait – 1st chase on "&amp;TEXT(D172+Lists!$N$6,"dd/mm/yyyy")),IF(H172="",IF(TODAY()-G172&gt;=Lists!$N$6,"Chase again (2nd chase)","Wait – 2nd chase on "&amp;TEXT(G172+Lists!$N$6,"dd/mm/yyyy")),"Call them, then mark Won, Lost or Expired"))))))</f>
        <v/>
      </c>
      <c r="M172" s="38"/>
      <c r="N172" s="42" t="n">
        <f aca="false">IF(I172="Won",IF(K172&lt;&gt;"",K172,N(E172)),0)</f>
        <v>0</v>
      </c>
      <c r="O172" s="42" t="str">
        <f aca="false">IF(ISNUMBER(F172),IF(F172&gt;Lists!$N$6,D172+ROW()/100000,""),"")</f>
        <v/>
      </c>
    </row>
    <row r="173" customFormat="false" ht="27.75" hidden="false" customHeight="true" outlineLevel="0" collapsed="false">
      <c r="A173" s="38"/>
      <c r="B173" s="38"/>
      <c r="C173" s="41"/>
      <c r="D173" s="39"/>
      <c r="E173" s="44"/>
      <c r="F173" s="47" t="str">
        <f aca="true">IF(D173="","",IF(OR(I173="",I173="Sent"),TODAY()-D173,""))</f>
        <v/>
      </c>
      <c r="G173" s="39"/>
      <c r="H173" s="39"/>
      <c r="I173" s="41"/>
      <c r="J173" s="39"/>
      <c r="K173" s="44"/>
      <c r="L173" s="42" t="str">
        <f aca="true">IF(D173="","",IF(AND(OR(I173="Won",I173="Lost"),J173=""),"Add the decision date",IF(I173="Won","Won – book the work in",IF(NOT(OR(I173="",I173="Sent")),"Closed – note why in Notes",IF(G173="",IF(F173&gt;=Lists!$N$6,"Chase now (1st chase)","Wait – 1st chase on "&amp;TEXT(D173+Lists!$N$6,"dd/mm/yyyy")),IF(H173="",IF(TODAY()-G173&gt;=Lists!$N$6,"Chase again (2nd chase)","Wait – 2nd chase on "&amp;TEXT(G173+Lists!$N$6,"dd/mm/yyyy")),"Call them, then mark Won, Lost or Expired"))))))</f>
        <v/>
      </c>
      <c r="M173" s="38"/>
      <c r="N173" s="42" t="n">
        <f aca="false">IF(I173="Won",IF(K173&lt;&gt;"",K173,N(E173)),0)</f>
        <v>0</v>
      </c>
      <c r="O173" s="42" t="str">
        <f aca="false">IF(ISNUMBER(F173),IF(F173&gt;Lists!$N$6,D173+ROW()/100000,""),"")</f>
        <v/>
      </c>
    </row>
    <row r="174" customFormat="false" ht="27.75" hidden="false" customHeight="true" outlineLevel="0" collapsed="false">
      <c r="A174" s="38"/>
      <c r="B174" s="38"/>
      <c r="C174" s="41"/>
      <c r="D174" s="39"/>
      <c r="E174" s="44"/>
      <c r="F174" s="47" t="str">
        <f aca="true">IF(D174="","",IF(OR(I174="",I174="Sent"),TODAY()-D174,""))</f>
        <v/>
      </c>
      <c r="G174" s="39"/>
      <c r="H174" s="39"/>
      <c r="I174" s="41"/>
      <c r="J174" s="39"/>
      <c r="K174" s="44"/>
      <c r="L174" s="42" t="str">
        <f aca="true">IF(D174="","",IF(AND(OR(I174="Won",I174="Lost"),J174=""),"Add the decision date",IF(I174="Won","Won – book the work in",IF(NOT(OR(I174="",I174="Sent")),"Closed – note why in Notes",IF(G174="",IF(F174&gt;=Lists!$N$6,"Chase now (1st chase)","Wait – 1st chase on "&amp;TEXT(D174+Lists!$N$6,"dd/mm/yyyy")),IF(H174="",IF(TODAY()-G174&gt;=Lists!$N$6,"Chase again (2nd chase)","Wait – 2nd chase on "&amp;TEXT(G174+Lists!$N$6,"dd/mm/yyyy")),"Call them, then mark Won, Lost or Expired"))))))</f>
        <v/>
      </c>
      <c r="M174" s="38"/>
      <c r="N174" s="42" t="n">
        <f aca="false">IF(I174="Won",IF(K174&lt;&gt;"",K174,N(E174)),0)</f>
        <v>0</v>
      </c>
      <c r="O174" s="42" t="str">
        <f aca="false">IF(ISNUMBER(F174),IF(F174&gt;Lists!$N$6,D174+ROW()/100000,""),"")</f>
        <v/>
      </c>
    </row>
    <row r="175" customFormat="false" ht="27.75" hidden="false" customHeight="true" outlineLevel="0" collapsed="false">
      <c r="A175" s="38"/>
      <c r="B175" s="38"/>
      <c r="C175" s="41"/>
      <c r="D175" s="39"/>
      <c r="E175" s="44"/>
      <c r="F175" s="47" t="str">
        <f aca="true">IF(D175="","",IF(OR(I175="",I175="Sent"),TODAY()-D175,""))</f>
        <v/>
      </c>
      <c r="G175" s="39"/>
      <c r="H175" s="39"/>
      <c r="I175" s="41"/>
      <c r="J175" s="39"/>
      <c r="K175" s="44"/>
      <c r="L175" s="42" t="str">
        <f aca="true">IF(D175="","",IF(AND(OR(I175="Won",I175="Lost"),J175=""),"Add the decision date",IF(I175="Won","Won – book the work in",IF(NOT(OR(I175="",I175="Sent")),"Closed – note why in Notes",IF(G175="",IF(F175&gt;=Lists!$N$6,"Chase now (1st chase)","Wait – 1st chase on "&amp;TEXT(D175+Lists!$N$6,"dd/mm/yyyy")),IF(H175="",IF(TODAY()-G175&gt;=Lists!$N$6,"Chase again (2nd chase)","Wait – 2nd chase on "&amp;TEXT(G175+Lists!$N$6,"dd/mm/yyyy")),"Call them, then mark Won, Lost or Expired"))))))</f>
        <v/>
      </c>
      <c r="M175" s="38"/>
      <c r="N175" s="42" t="n">
        <f aca="false">IF(I175="Won",IF(K175&lt;&gt;"",K175,N(E175)),0)</f>
        <v>0</v>
      </c>
      <c r="O175" s="42" t="str">
        <f aca="false">IF(ISNUMBER(F175),IF(F175&gt;Lists!$N$6,D175+ROW()/100000,""),"")</f>
        <v/>
      </c>
    </row>
    <row r="176" customFormat="false" ht="27.75" hidden="false" customHeight="true" outlineLevel="0" collapsed="false">
      <c r="A176" s="38"/>
      <c r="B176" s="38"/>
      <c r="C176" s="41"/>
      <c r="D176" s="39"/>
      <c r="E176" s="44"/>
      <c r="F176" s="47" t="str">
        <f aca="true">IF(D176="","",IF(OR(I176="",I176="Sent"),TODAY()-D176,""))</f>
        <v/>
      </c>
      <c r="G176" s="39"/>
      <c r="H176" s="39"/>
      <c r="I176" s="41"/>
      <c r="J176" s="39"/>
      <c r="K176" s="44"/>
      <c r="L176" s="42" t="str">
        <f aca="true">IF(D176="","",IF(AND(OR(I176="Won",I176="Lost"),J176=""),"Add the decision date",IF(I176="Won","Won – book the work in",IF(NOT(OR(I176="",I176="Sent")),"Closed – note why in Notes",IF(G176="",IF(F176&gt;=Lists!$N$6,"Chase now (1st chase)","Wait – 1st chase on "&amp;TEXT(D176+Lists!$N$6,"dd/mm/yyyy")),IF(H176="",IF(TODAY()-G176&gt;=Lists!$N$6,"Chase again (2nd chase)","Wait – 2nd chase on "&amp;TEXT(G176+Lists!$N$6,"dd/mm/yyyy")),"Call them, then mark Won, Lost or Expired"))))))</f>
        <v/>
      </c>
      <c r="M176" s="38"/>
      <c r="N176" s="42" t="n">
        <f aca="false">IF(I176="Won",IF(K176&lt;&gt;"",K176,N(E176)),0)</f>
        <v>0</v>
      </c>
      <c r="O176" s="42" t="str">
        <f aca="false">IF(ISNUMBER(F176),IF(F176&gt;Lists!$N$6,D176+ROW()/100000,""),"")</f>
        <v/>
      </c>
    </row>
    <row r="177" customFormat="false" ht="27.75" hidden="false" customHeight="true" outlineLevel="0" collapsed="false">
      <c r="A177" s="38"/>
      <c r="B177" s="38"/>
      <c r="C177" s="41"/>
      <c r="D177" s="39"/>
      <c r="E177" s="44"/>
      <c r="F177" s="47" t="str">
        <f aca="true">IF(D177="","",IF(OR(I177="",I177="Sent"),TODAY()-D177,""))</f>
        <v/>
      </c>
      <c r="G177" s="39"/>
      <c r="H177" s="39"/>
      <c r="I177" s="41"/>
      <c r="J177" s="39"/>
      <c r="K177" s="44"/>
      <c r="L177" s="42" t="str">
        <f aca="true">IF(D177="","",IF(AND(OR(I177="Won",I177="Lost"),J177=""),"Add the decision date",IF(I177="Won","Won – book the work in",IF(NOT(OR(I177="",I177="Sent")),"Closed – note why in Notes",IF(G177="",IF(F177&gt;=Lists!$N$6,"Chase now (1st chase)","Wait – 1st chase on "&amp;TEXT(D177+Lists!$N$6,"dd/mm/yyyy")),IF(H177="",IF(TODAY()-G177&gt;=Lists!$N$6,"Chase again (2nd chase)","Wait – 2nd chase on "&amp;TEXT(G177+Lists!$N$6,"dd/mm/yyyy")),"Call them, then mark Won, Lost or Expired"))))))</f>
        <v/>
      </c>
      <c r="M177" s="38"/>
      <c r="N177" s="42" t="n">
        <f aca="false">IF(I177="Won",IF(K177&lt;&gt;"",K177,N(E177)),0)</f>
        <v>0</v>
      </c>
      <c r="O177" s="42" t="str">
        <f aca="false">IF(ISNUMBER(F177),IF(F177&gt;Lists!$N$6,D177+ROW()/100000,""),"")</f>
        <v/>
      </c>
    </row>
    <row r="178" customFormat="false" ht="27.75" hidden="false" customHeight="true" outlineLevel="0" collapsed="false">
      <c r="A178" s="38"/>
      <c r="B178" s="38"/>
      <c r="C178" s="41"/>
      <c r="D178" s="39"/>
      <c r="E178" s="44"/>
      <c r="F178" s="47" t="str">
        <f aca="true">IF(D178="","",IF(OR(I178="",I178="Sent"),TODAY()-D178,""))</f>
        <v/>
      </c>
      <c r="G178" s="39"/>
      <c r="H178" s="39"/>
      <c r="I178" s="41"/>
      <c r="J178" s="39"/>
      <c r="K178" s="44"/>
      <c r="L178" s="42" t="str">
        <f aca="true">IF(D178="","",IF(AND(OR(I178="Won",I178="Lost"),J178=""),"Add the decision date",IF(I178="Won","Won – book the work in",IF(NOT(OR(I178="",I178="Sent")),"Closed – note why in Notes",IF(G178="",IF(F178&gt;=Lists!$N$6,"Chase now (1st chase)","Wait – 1st chase on "&amp;TEXT(D178+Lists!$N$6,"dd/mm/yyyy")),IF(H178="",IF(TODAY()-G178&gt;=Lists!$N$6,"Chase again (2nd chase)","Wait – 2nd chase on "&amp;TEXT(G178+Lists!$N$6,"dd/mm/yyyy")),"Call them, then mark Won, Lost or Expired"))))))</f>
        <v/>
      </c>
      <c r="M178" s="38"/>
      <c r="N178" s="42" t="n">
        <f aca="false">IF(I178="Won",IF(K178&lt;&gt;"",K178,N(E178)),0)</f>
        <v>0</v>
      </c>
      <c r="O178" s="42" t="str">
        <f aca="false">IF(ISNUMBER(F178),IF(F178&gt;Lists!$N$6,D178+ROW()/100000,""),"")</f>
        <v/>
      </c>
    </row>
    <row r="179" customFormat="false" ht="27.75" hidden="false" customHeight="true" outlineLevel="0" collapsed="false">
      <c r="A179" s="38"/>
      <c r="B179" s="38"/>
      <c r="C179" s="41"/>
      <c r="D179" s="39"/>
      <c r="E179" s="44"/>
      <c r="F179" s="47" t="str">
        <f aca="true">IF(D179="","",IF(OR(I179="",I179="Sent"),TODAY()-D179,""))</f>
        <v/>
      </c>
      <c r="G179" s="39"/>
      <c r="H179" s="39"/>
      <c r="I179" s="41"/>
      <c r="J179" s="39"/>
      <c r="K179" s="44"/>
      <c r="L179" s="42" t="str">
        <f aca="true">IF(D179="","",IF(AND(OR(I179="Won",I179="Lost"),J179=""),"Add the decision date",IF(I179="Won","Won – book the work in",IF(NOT(OR(I179="",I179="Sent")),"Closed – note why in Notes",IF(G179="",IF(F179&gt;=Lists!$N$6,"Chase now (1st chase)","Wait – 1st chase on "&amp;TEXT(D179+Lists!$N$6,"dd/mm/yyyy")),IF(H179="",IF(TODAY()-G179&gt;=Lists!$N$6,"Chase again (2nd chase)","Wait – 2nd chase on "&amp;TEXT(G179+Lists!$N$6,"dd/mm/yyyy")),"Call them, then mark Won, Lost or Expired"))))))</f>
        <v/>
      </c>
      <c r="M179" s="38"/>
      <c r="N179" s="42" t="n">
        <f aca="false">IF(I179="Won",IF(K179&lt;&gt;"",K179,N(E179)),0)</f>
        <v>0</v>
      </c>
      <c r="O179" s="42" t="str">
        <f aca="false">IF(ISNUMBER(F179),IF(F179&gt;Lists!$N$6,D179+ROW()/100000,""),"")</f>
        <v/>
      </c>
    </row>
    <row r="180" customFormat="false" ht="27.75" hidden="false" customHeight="true" outlineLevel="0" collapsed="false">
      <c r="A180" s="38"/>
      <c r="B180" s="38"/>
      <c r="C180" s="41"/>
      <c r="D180" s="39"/>
      <c r="E180" s="44"/>
      <c r="F180" s="47" t="str">
        <f aca="true">IF(D180="","",IF(OR(I180="",I180="Sent"),TODAY()-D180,""))</f>
        <v/>
      </c>
      <c r="G180" s="39"/>
      <c r="H180" s="39"/>
      <c r="I180" s="41"/>
      <c r="J180" s="39"/>
      <c r="K180" s="44"/>
      <c r="L180" s="42" t="str">
        <f aca="true">IF(D180="","",IF(AND(OR(I180="Won",I180="Lost"),J180=""),"Add the decision date",IF(I180="Won","Won – book the work in",IF(NOT(OR(I180="",I180="Sent")),"Closed – note why in Notes",IF(G180="",IF(F180&gt;=Lists!$N$6,"Chase now (1st chase)","Wait – 1st chase on "&amp;TEXT(D180+Lists!$N$6,"dd/mm/yyyy")),IF(H180="",IF(TODAY()-G180&gt;=Lists!$N$6,"Chase again (2nd chase)","Wait – 2nd chase on "&amp;TEXT(G180+Lists!$N$6,"dd/mm/yyyy")),"Call them, then mark Won, Lost or Expired"))))))</f>
        <v/>
      </c>
      <c r="M180" s="38"/>
      <c r="N180" s="42" t="n">
        <f aca="false">IF(I180="Won",IF(K180&lt;&gt;"",K180,N(E180)),0)</f>
        <v>0</v>
      </c>
      <c r="O180" s="42" t="str">
        <f aca="false">IF(ISNUMBER(F180),IF(F180&gt;Lists!$N$6,D180+ROW()/100000,""),"")</f>
        <v/>
      </c>
    </row>
    <row r="181" customFormat="false" ht="27.75" hidden="false" customHeight="true" outlineLevel="0" collapsed="false">
      <c r="A181" s="38"/>
      <c r="B181" s="38"/>
      <c r="C181" s="41"/>
      <c r="D181" s="39"/>
      <c r="E181" s="44"/>
      <c r="F181" s="47" t="str">
        <f aca="true">IF(D181="","",IF(OR(I181="",I181="Sent"),TODAY()-D181,""))</f>
        <v/>
      </c>
      <c r="G181" s="39"/>
      <c r="H181" s="39"/>
      <c r="I181" s="41"/>
      <c r="J181" s="39"/>
      <c r="K181" s="44"/>
      <c r="L181" s="42" t="str">
        <f aca="true">IF(D181="","",IF(AND(OR(I181="Won",I181="Lost"),J181=""),"Add the decision date",IF(I181="Won","Won – book the work in",IF(NOT(OR(I181="",I181="Sent")),"Closed – note why in Notes",IF(G181="",IF(F181&gt;=Lists!$N$6,"Chase now (1st chase)","Wait – 1st chase on "&amp;TEXT(D181+Lists!$N$6,"dd/mm/yyyy")),IF(H181="",IF(TODAY()-G181&gt;=Lists!$N$6,"Chase again (2nd chase)","Wait – 2nd chase on "&amp;TEXT(G181+Lists!$N$6,"dd/mm/yyyy")),"Call them, then mark Won, Lost or Expired"))))))</f>
        <v/>
      </c>
      <c r="M181" s="38"/>
      <c r="N181" s="42" t="n">
        <f aca="false">IF(I181="Won",IF(K181&lt;&gt;"",K181,N(E181)),0)</f>
        <v>0</v>
      </c>
      <c r="O181" s="42" t="str">
        <f aca="false">IF(ISNUMBER(F181),IF(F181&gt;Lists!$N$6,D181+ROW()/100000,""),"")</f>
        <v/>
      </c>
    </row>
    <row r="182" customFormat="false" ht="27.75" hidden="false" customHeight="true" outlineLevel="0" collapsed="false">
      <c r="A182" s="38"/>
      <c r="B182" s="38"/>
      <c r="C182" s="41"/>
      <c r="D182" s="39"/>
      <c r="E182" s="44"/>
      <c r="F182" s="47" t="str">
        <f aca="true">IF(D182="","",IF(OR(I182="",I182="Sent"),TODAY()-D182,""))</f>
        <v/>
      </c>
      <c r="G182" s="39"/>
      <c r="H182" s="39"/>
      <c r="I182" s="41"/>
      <c r="J182" s="39"/>
      <c r="K182" s="44"/>
      <c r="L182" s="42" t="str">
        <f aca="true">IF(D182="","",IF(AND(OR(I182="Won",I182="Lost"),J182=""),"Add the decision date",IF(I182="Won","Won – book the work in",IF(NOT(OR(I182="",I182="Sent")),"Closed – note why in Notes",IF(G182="",IF(F182&gt;=Lists!$N$6,"Chase now (1st chase)","Wait – 1st chase on "&amp;TEXT(D182+Lists!$N$6,"dd/mm/yyyy")),IF(H182="",IF(TODAY()-G182&gt;=Lists!$N$6,"Chase again (2nd chase)","Wait – 2nd chase on "&amp;TEXT(G182+Lists!$N$6,"dd/mm/yyyy")),"Call them, then mark Won, Lost or Expired"))))))</f>
        <v/>
      </c>
      <c r="M182" s="38"/>
      <c r="N182" s="42" t="n">
        <f aca="false">IF(I182="Won",IF(K182&lt;&gt;"",K182,N(E182)),0)</f>
        <v>0</v>
      </c>
      <c r="O182" s="42" t="str">
        <f aca="false">IF(ISNUMBER(F182),IF(F182&gt;Lists!$N$6,D182+ROW()/100000,""),"")</f>
        <v/>
      </c>
    </row>
    <row r="183" customFormat="false" ht="27.75" hidden="false" customHeight="true" outlineLevel="0" collapsed="false">
      <c r="A183" s="38"/>
      <c r="B183" s="38"/>
      <c r="C183" s="41"/>
      <c r="D183" s="39"/>
      <c r="E183" s="44"/>
      <c r="F183" s="47" t="str">
        <f aca="true">IF(D183="","",IF(OR(I183="",I183="Sent"),TODAY()-D183,""))</f>
        <v/>
      </c>
      <c r="G183" s="39"/>
      <c r="H183" s="39"/>
      <c r="I183" s="41"/>
      <c r="J183" s="39"/>
      <c r="K183" s="44"/>
      <c r="L183" s="42" t="str">
        <f aca="true">IF(D183="","",IF(AND(OR(I183="Won",I183="Lost"),J183=""),"Add the decision date",IF(I183="Won","Won – book the work in",IF(NOT(OR(I183="",I183="Sent")),"Closed – note why in Notes",IF(G183="",IF(F183&gt;=Lists!$N$6,"Chase now (1st chase)","Wait – 1st chase on "&amp;TEXT(D183+Lists!$N$6,"dd/mm/yyyy")),IF(H183="",IF(TODAY()-G183&gt;=Lists!$N$6,"Chase again (2nd chase)","Wait – 2nd chase on "&amp;TEXT(G183+Lists!$N$6,"dd/mm/yyyy")),"Call them, then mark Won, Lost or Expired"))))))</f>
        <v/>
      </c>
      <c r="M183" s="38"/>
      <c r="N183" s="42" t="n">
        <f aca="false">IF(I183="Won",IF(K183&lt;&gt;"",K183,N(E183)),0)</f>
        <v>0</v>
      </c>
      <c r="O183" s="42" t="str">
        <f aca="false">IF(ISNUMBER(F183),IF(F183&gt;Lists!$N$6,D183+ROW()/100000,""),"")</f>
        <v/>
      </c>
    </row>
    <row r="184" customFormat="false" ht="27.75" hidden="false" customHeight="true" outlineLevel="0" collapsed="false">
      <c r="A184" s="38"/>
      <c r="B184" s="38"/>
      <c r="C184" s="41"/>
      <c r="D184" s="39"/>
      <c r="E184" s="44"/>
      <c r="F184" s="47" t="str">
        <f aca="true">IF(D184="","",IF(OR(I184="",I184="Sent"),TODAY()-D184,""))</f>
        <v/>
      </c>
      <c r="G184" s="39"/>
      <c r="H184" s="39"/>
      <c r="I184" s="41"/>
      <c r="J184" s="39"/>
      <c r="K184" s="44"/>
      <c r="L184" s="42" t="str">
        <f aca="true">IF(D184="","",IF(AND(OR(I184="Won",I184="Lost"),J184=""),"Add the decision date",IF(I184="Won","Won – book the work in",IF(NOT(OR(I184="",I184="Sent")),"Closed – note why in Notes",IF(G184="",IF(F184&gt;=Lists!$N$6,"Chase now (1st chase)","Wait – 1st chase on "&amp;TEXT(D184+Lists!$N$6,"dd/mm/yyyy")),IF(H184="",IF(TODAY()-G184&gt;=Lists!$N$6,"Chase again (2nd chase)","Wait – 2nd chase on "&amp;TEXT(G184+Lists!$N$6,"dd/mm/yyyy")),"Call them, then mark Won, Lost or Expired"))))))</f>
        <v/>
      </c>
      <c r="M184" s="38"/>
      <c r="N184" s="42" t="n">
        <f aca="false">IF(I184="Won",IF(K184&lt;&gt;"",K184,N(E184)),0)</f>
        <v>0</v>
      </c>
      <c r="O184" s="42" t="str">
        <f aca="false">IF(ISNUMBER(F184),IF(F184&gt;Lists!$N$6,D184+ROW()/100000,""),"")</f>
        <v/>
      </c>
    </row>
    <row r="185" customFormat="false" ht="27.75" hidden="false" customHeight="true" outlineLevel="0" collapsed="false">
      <c r="A185" s="38"/>
      <c r="B185" s="38"/>
      <c r="C185" s="41"/>
      <c r="D185" s="39"/>
      <c r="E185" s="44"/>
      <c r="F185" s="47" t="str">
        <f aca="true">IF(D185="","",IF(OR(I185="",I185="Sent"),TODAY()-D185,""))</f>
        <v/>
      </c>
      <c r="G185" s="39"/>
      <c r="H185" s="39"/>
      <c r="I185" s="41"/>
      <c r="J185" s="39"/>
      <c r="K185" s="44"/>
      <c r="L185" s="42" t="str">
        <f aca="true">IF(D185="","",IF(AND(OR(I185="Won",I185="Lost"),J185=""),"Add the decision date",IF(I185="Won","Won – book the work in",IF(NOT(OR(I185="",I185="Sent")),"Closed – note why in Notes",IF(G185="",IF(F185&gt;=Lists!$N$6,"Chase now (1st chase)","Wait – 1st chase on "&amp;TEXT(D185+Lists!$N$6,"dd/mm/yyyy")),IF(H185="",IF(TODAY()-G185&gt;=Lists!$N$6,"Chase again (2nd chase)","Wait – 2nd chase on "&amp;TEXT(G185+Lists!$N$6,"dd/mm/yyyy")),"Call them, then mark Won, Lost or Expired"))))))</f>
        <v/>
      </c>
      <c r="M185" s="38"/>
      <c r="N185" s="42" t="n">
        <f aca="false">IF(I185="Won",IF(K185&lt;&gt;"",K185,N(E185)),0)</f>
        <v>0</v>
      </c>
      <c r="O185" s="42" t="str">
        <f aca="false">IF(ISNUMBER(F185),IF(F185&gt;Lists!$N$6,D185+ROW()/100000,""),"")</f>
        <v/>
      </c>
    </row>
    <row r="186" customFormat="false" ht="27.75" hidden="false" customHeight="true" outlineLevel="0" collapsed="false">
      <c r="A186" s="38"/>
      <c r="B186" s="38"/>
      <c r="C186" s="41"/>
      <c r="D186" s="39"/>
      <c r="E186" s="44"/>
      <c r="F186" s="47" t="str">
        <f aca="true">IF(D186="","",IF(OR(I186="",I186="Sent"),TODAY()-D186,""))</f>
        <v/>
      </c>
      <c r="G186" s="39"/>
      <c r="H186" s="39"/>
      <c r="I186" s="41"/>
      <c r="J186" s="39"/>
      <c r="K186" s="44"/>
      <c r="L186" s="42" t="str">
        <f aca="true">IF(D186="","",IF(AND(OR(I186="Won",I186="Lost"),J186=""),"Add the decision date",IF(I186="Won","Won – book the work in",IF(NOT(OR(I186="",I186="Sent")),"Closed – note why in Notes",IF(G186="",IF(F186&gt;=Lists!$N$6,"Chase now (1st chase)","Wait – 1st chase on "&amp;TEXT(D186+Lists!$N$6,"dd/mm/yyyy")),IF(H186="",IF(TODAY()-G186&gt;=Lists!$N$6,"Chase again (2nd chase)","Wait – 2nd chase on "&amp;TEXT(G186+Lists!$N$6,"dd/mm/yyyy")),"Call them, then mark Won, Lost or Expired"))))))</f>
        <v/>
      </c>
      <c r="M186" s="38"/>
      <c r="N186" s="42" t="n">
        <f aca="false">IF(I186="Won",IF(K186&lt;&gt;"",K186,N(E186)),0)</f>
        <v>0</v>
      </c>
      <c r="O186" s="42" t="str">
        <f aca="false">IF(ISNUMBER(F186),IF(F186&gt;Lists!$N$6,D186+ROW()/100000,""),"")</f>
        <v/>
      </c>
    </row>
    <row r="187" customFormat="false" ht="27.75" hidden="false" customHeight="true" outlineLevel="0" collapsed="false">
      <c r="A187" s="38"/>
      <c r="B187" s="38"/>
      <c r="C187" s="41"/>
      <c r="D187" s="39"/>
      <c r="E187" s="44"/>
      <c r="F187" s="47" t="str">
        <f aca="true">IF(D187="","",IF(OR(I187="",I187="Sent"),TODAY()-D187,""))</f>
        <v/>
      </c>
      <c r="G187" s="39"/>
      <c r="H187" s="39"/>
      <c r="I187" s="41"/>
      <c r="J187" s="39"/>
      <c r="K187" s="44"/>
      <c r="L187" s="42" t="str">
        <f aca="true">IF(D187="","",IF(AND(OR(I187="Won",I187="Lost"),J187=""),"Add the decision date",IF(I187="Won","Won – book the work in",IF(NOT(OR(I187="",I187="Sent")),"Closed – note why in Notes",IF(G187="",IF(F187&gt;=Lists!$N$6,"Chase now (1st chase)","Wait – 1st chase on "&amp;TEXT(D187+Lists!$N$6,"dd/mm/yyyy")),IF(H187="",IF(TODAY()-G187&gt;=Lists!$N$6,"Chase again (2nd chase)","Wait – 2nd chase on "&amp;TEXT(G187+Lists!$N$6,"dd/mm/yyyy")),"Call them, then mark Won, Lost or Expired"))))))</f>
        <v/>
      </c>
      <c r="M187" s="38"/>
      <c r="N187" s="42" t="n">
        <f aca="false">IF(I187="Won",IF(K187&lt;&gt;"",K187,N(E187)),0)</f>
        <v>0</v>
      </c>
      <c r="O187" s="42" t="str">
        <f aca="false">IF(ISNUMBER(F187),IF(F187&gt;Lists!$N$6,D187+ROW()/100000,""),"")</f>
        <v/>
      </c>
    </row>
    <row r="188" customFormat="false" ht="27.75" hidden="false" customHeight="true" outlineLevel="0" collapsed="false">
      <c r="A188" s="38"/>
      <c r="B188" s="38"/>
      <c r="C188" s="41"/>
      <c r="D188" s="39"/>
      <c r="E188" s="44"/>
      <c r="F188" s="47" t="str">
        <f aca="true">IF(D188="","",IF(OR(I188="",I188="Sent"),TODAY()-D188,""))</f>
        <v/>
      </c>
      <c r="G188" s="39"/>
      <c r="H188" s="39"/>
      <c r="I188" s="41"/>
      <c r="J188" s="39"/>
      <c r="K188" s="44"/>
      <c r="L188" s="42" t="str">
        <f aca="true">IF(D188="","",IF(AND(OR(I188="Won",I188="Lost"),J188=""),"Add the decision date",IF(I188="Won","Won – book the work in",IF(NOT(OR(I188="",I188="Sent")),"Closed – note why in Notes",IF(G188="",IF(F188&gt;=Lists!$N$6,"Chase now (1st chase)","Wait – 1st chase on "&amp;TEXT(D188+Lists!$N$6,"dd/mm/yyyy")),IF(H188="",IF(TODAY()-G188&gt;=Lists!$N$6,"Chase again (2nd chase)","Wait – 2nd chase on "&amp;TEXT(G188+Lists!$N$6,"dd/mm/yyyy")),"Call them, then mark Won, Lost or Expired"))))))</f>
        <v/>
      </c>
      <c r="M188" s="38"/>
      <c r="N188" s="42" t="n">
        <f aca="false">IF(I188="Won",IF(K188&lt;&gt;"",K188,N(E188)),0)</f>
        <v>0</v>
      </c>
      <c r="O188" s="42" t="str">
        <f aca="false">IF(ISNUMBER(F188),IF(F188&gt;Lists!$N$6,D188+ROW()/100000,""),"")</f>
        <v/>
      </c>
    </row>
    <row r="189" customFormat="false" ht="27.75" hidden="false" customHeight="true" outlineLevel="0" collapsed="false">
      <c r="A189" s="38"/>
      <c r="B189" s="38"/>
      <c r="C189" s="41"/>
      <c r="D189" s="39"/>
      <c r="E189" s="44"/>
      <c r="F189" s="47" t="str">
        <f aca="true">IF(D189="","",IF(OR(I189="",I189="Sent"),TODAY()-D189,""))</f>
        <v/>
      </c>
      <c r="G189" s="39"/>
      <c r="H189" s="39"/>
      <c r="I189" s="41"/>
      <c r="J189" s="39"/>
      <c r="K189" s="44"/>
      <c r="L189" s="42" t="str">
        <f aca="true">IF(D189="","",IF(AND(OR(I189="Won",I189="Lost"),J189=""),"Add the decision date",IF(I189="Won","Won – book the work in",IF(NOT(OR(I189="",I189="Sent")),"Closed – note why in Notes",IF(G189="",IF(F189&gt;=Lists!$N$6,"Chase now (1st chase)","Wait – 1st chase on "&amp;TEXT(D189+Lists!$N$6,"dd/mm/yyyy")),IF(H189="",IF(TODAY()-G189&gt;=Lists!$N$6,"Chase again (2nd chase)","Wait – 2nd chase on "&amp;TEXT(G189+Lists!$N$6,"dd/mm/yyyy")),"Call them, then mark Won, Lost or Expired"))))))</f>
        <v/>
      </c>
      <c r="M189" s="38"/>
      <c r="N189" s="42" t="n">
        <f aca="false">IF(I189="Won",IF(K189&lt;&gt;"",K189,N(E189)),0)</f>
        <v>0</v>
      </c>
      <c r="O189" s="42" t="str">
        <f aca="false">IF(ISNUMBER(F189),IF(F189&gt;Lists!$N$6,D189+ROW()/100000,""),"")</f>
        <v/>
      </c>
    </row>
    <row r="190" customFormat="false" ht="27.75" hidden="false" customHeight="true" outlineLevel="0" collapsed="false">
      <c r="A190" s="38"/>
      <c r="B190" s="38"/>
      <c r="C190" s="41"/>
      <c r="D190" s="39"/>
      <c r="E190" s="44"/>
      <c r="F190" s="47" t="str">
        <f aca="true">IF(D190="","",IF(OR(I190="",I190="Sent"),TODAY()-D190,""))</f>
        <v/>
      </c>
      <c r="G190" s="39"/>
      <c r="H190" s="39"/>
      <c r="I190" s="41"/>
      <c r="J190" s="39"/>
      <c r="K190" s="44"/>
      <c r="L190" s="42" t="str">
        <f aca="true">IF(D190="","",IF(AND(OR(I190="Won",I190="Lost"),J190=""),"Add the decision date",IF(I190="Won","Won – book the work in",IF(NOT(OR(I190="",I190="Sent")),"Closed – note why in Notes",IF(G190="",IF(F190&gt;=Lists!$N$6,"Chase now (1st chase)","Wait – 1st chase on "&amp;TEXT(D190+Lists!$N$6,"dd/mm/yyyy")),IF(H190="",IF(TODAY()-G190&gt;=Lists!$N$6,"Chase again (2nd chase)","Wait – 2nd chase on "&amp;TEXT(G190+Lists!$N$6,"dd/mm/yyyy")),"Call them, then mark Won, Lost or Expired"))))))</f>
        <v/>
      </c>
      <c r="M190" s="38"/>
      <c r="N190" s="42" t="n">
        <f aca="false">IF(I190="Won",IF(K190&lt;&gt;"",K190,N(E190)),0)</f>
        <v>0</v>
      </c>
      <c r="O190" s="42" t="str">
        <f aca="false">IF(ISNUMBER(F190),IF(F190&gt;Lists!$N$6,D190+ROW()/100000,""),"")</f>
        <v/>
      </c>
    </row>
    <row r="191" customFormat="false" ht="27.75" hidden="false" customHeight="true" outlineLevel="0" collapsed="false">
      <c r="A191" s="38"/>
      <c r="B191" s="38"/>
      <c r="C191" s="41"/>
      <c r="D191" s="39"/>
      <c r="E191" s="44"/>
      <c r="F191" s="47" t="str">
        <f aca="true">IF(D191="","",IF(OR(I191="",I191="Sent"),TODAY()-D191,""))</f>
        <v/>
      </c>
      <c r="G191" s="39"/>
      <c r="H191" s="39"/>
      <c r="I191" s="41"/>
      <c r="J191" s="39"/>
      <c r="K191" s="44"/>
      <c r="L191" s="42" t="str">
        <f aca="true">IF(D191="","",IF(AND(OR(I191="Won",I191="Lost"),J191=""),"Add the decision date",IF(I191="Won","Won – book the work in",IF(NOT(OR(I191="",I191="Sent")),"Closed – note why in Notes",IF(G191="",IF(F191&gt;=Lists!$N$6,"Chase now (1st chase)","Wait – 1st chase on "&amp;TEXT(D191+Lists!$N$6,"dd/mm/yyyy")),IF(H191="",IF(TODAY()-G191&gt;=Lists!$N$6,"Chase again (2nd chase)","Wait – 2nd chase on "&amp;TEXT(G191+Lists!$N$6,"dd/mm/yyyy")),"Call them, then mark Won, Lost or Expired"))))))</f>
        <v/>
      </c>
      <c r="M191" s="38"/>
      <c r="N191" s="42" t="n">
        <f aca="false">IF(I191="Won",IF(K191&lt;&gt;"",K191,N(E191)),0)</f>
        <v>0</v>
      </c>
      <c r="O191" s="42" t="str">
        <f aca="false">IF(ISNUMBER(F191),IF(F191&gt;Lists!$N$6,D191+ROW()/100000,""),"")</f>
        <v/>
      </c>
    </row>
    <row r="192" customFormat="false" ht="27.75" hidden="false" customHeight="true" outlineLevel="0" collapsed="false">
      <c r="A192" s="38"/>
      <c r="B192" s="38"/>
      <c r="C192" s="41"/>
      <c r="D192" s="39"/>
      <c r="E192" s="44"/>
      <c r="F192" s="47" t="str">
        <f aca="true">IF(D192="","",IF(OR(I192="",I192="Sent"),TODAY()-D192,""))</f>
        <v/>
      </c>
      <c r="G192" s="39"/>
      <c r="H192" s="39"/>
      <c r="I192" s="41"/>
      <c r="J192" s="39"/>
      <c r="K192" s="44"/>
      <c r="L192" s="42" t="str">
        <f aca="true">IF(D192="","",IF(AND(OR(I192="Won",I192="Lost"),J192=""),"Add the decision date",IF(I192="Won","Won – book the work in",IF(NOT(OR(I192="",I192="Sent")),"Closed – note why in Notes",IF(G192="",IF(F192&gt;=Lists!$N$6,"Chase now (1st chase)","Wait – 1st chase on "&amp;TEXT(D192+Lists!$N$6,"dd/mm/yyyy")),IF(H192="",IF(TODAY()-G192&gt;=Lists!$N$6,"Chase again (2nd chase)","Wait – 2nd chase on "&amp;TEXT(G192+Lists!$N$6,"dd/mm/yyyy")),"Call them, then mark Won, Lost or Expired"))))))</f>
        <v/>
      </c>
      <c r="M192" s="38"/>
      <c r="N192" s="42" t="n">
        <f aca="false">IF(I192="Won",IF(K192&lt;&gt;"",K192,N(E192)),0)</f>
        <v>0</v>
      </c>
      <c r="O192" s="42" t="str">
        <f aca="false">IF(ISNUMBER(F192),IF(F192&gt;Lists!$N$6,D192+ROW()/100000,""),"")</f>
        <v/>
      </c>
    </row>
    <row r="193" customFormat="false" ht="27.75" hidden="false" customHeight="true" outlineLevel="0" collapsed="false">
      <c r="A193" s="38"/>
      <c r="B193" s="38"/>
      <c r="C193" s="41"/>
      <c r="D193" s="39"/>
      <c r="E193" s="44"/>
      <c r="F193" s="47" t="str">
        <f aca="true">IF(D193="","",IF(OR(I193="",I193="Sent"),TODAY()-D193,""))</f>
        <v/>
      </c>
      <c r="G193" s="39"/>
      <c r="H193" s="39"/>
      <c r="I193" s="41"/>
      <c r="J193" s="39"/>
      <c r="K193" s="44"/>
      <c r="L193" s="42" t="str">
        <f aca="true">IF(D193="","",IF(AND(OR(I193="Won",I193="Lost"),J193=""),"Add the decision date",IF(I193="Won","Won – book the work in",IF(NOT(OR(I193="",I193="Sent")),"Closed – note why in Notes",IF(G193="",IF(F193&gt;=Lists!$N$6,"Chase now (1st chase)","Wait – 1st chase on "&amp;TEXT(D193+Lists!$N$6,"dd/mm/yyyy")),IF(H193="",IF(TODAY()-G193&gt;=Lists!$N$6,"Chase again (2nd chase)","Wait – 2nd chase on "&amp;TEXT(G193+Lists!$N$6,"dd/mm/yyyy")),"Call them, then mark Won, Lost or Expired"))))))</f>
        <v/>
      </c>
      <c r="M193" s="38"/>
      <c r="N193" s="42" t="n">
        <f aca="false">IF(I193="Won",IF(K193&lt;&gt;"",K193,N(E193)),0)</f>
        <v>0</v>
      </c>
      <c r="O193" s="42" t="str">
        <f aca="false">IF(ISNUMBER(F193),IF(F193&gt;Lists!$N$6,D193+ROW()/100000,""),"")</f>
        <v/>
      </c>
    </row>
    <row r="194" customFormat="false" ht="27.75" hidden="false" customHeight="true" outlineLevel="0" collapsed="false">
      <c r="A194" s="38"/>
      <c r="B194" s="38"/>
      <c r="C194" s="41"/>
      <c r="D194" s="39"/>
      <c r="E194" s="44"/>
      <c r="F194" s="47" t="str">
        <f aca="true">IF(D194="","",IF(OR(I194="",I194="Sent"),TODAY()-D194,""))</f>
        <v/>
      </c>
      <c r="G194" s="39"/>
      <c r="H194" s="39"/>
      <c r="I194" s="41"/>
      <c r="J194" s="39"/>
      <c r="K194" s="44"/>
      <c r="L194" s="42" t="str">
        <f aca="true">IF(D194="","",IF(AND(OR(I194="Won",I194="Lost"),J194=""),"Add the decision date",IF(I194="Won","Won – book the work in",IF(NOT(OR(I194="",I194="Sent")),"Closed – note why in Notes",IF(G194="",IF(F194&gt;=Lists!$N$6,"Chase now (1st chase)","Wait – 1st chase on "&amp;TEXT(D194+Lists!$N$6,"dd/mm/yyyy")),IF(H194="",IF(TODAY()-G194&gt;=Lists!$N$6,"Chase again (2nd chase)","Wait – 2nd chase on "&amp;TEXT(G194+Lists!$N$6,"dd/mm/yyyy")),"Call them, then mark Won, Lost or Expired"))))))</f>
        <v/>
      </c>
      <c r="M194" s="38"/>
      <c r="N194" s="42" t="n">
        <f aca="false">IF(I194="Won",IF(K194&lt;&gt;"",K194,N(E194)),0)</f>
        <v>0</v>
      </c>
      <c r="O194" s="42" t="str">
        <f aca="false">IF(ISNUMBER(F194),IF(F194&gt;Lists!$N$6,D194+ROW()/100000,""),"")</f>
        <v/>
      </c>
    </row>
    <row r="195" customFormat="false" ht="27.75" hidden="false" customHeight="true" outlineLevel="0" collapsed="false">
      <c r="A195" s="38"/>
      <c r="B195" s="38"/>
      <c r="C195" s="41"/>
      <c r="D195" s="39"/>
      <c r="E195" s="44"/>
      <c r="F195" s="47" t="str">
        <f aca="true">IF(D195="","",IF(OR(I195="",I195="Sent"),TODAY()-D195,""))</f>
        <v/>
      </c>
      <c r="G195" s="39"/>
      <c r="H195" s="39"/>
      <c r="I195" s="41"/>
      <c r="J195" s="39"/>
      <c r="K195" s="44"/>
      <c r="L195" s="42" t="str">
        <f aca="true">IF(D195="","",IF(AND(OR(I195="Won",I195="Lost"),J195=""),"Add the decision date",IF(I195="Won","Won – book the work in",IF(NOT(OR(I195="",I195="Sent")),"Closed – note why in Notes",IF(G195="",IF(F195&gt;=Lists!$N$6,"Chase now (1st chase)","Wait – 1st chase on "&amp;TEXT(D195+Lists!$N$6,"dd/mm/yyyy")),IF(H195="",IF(TODAY()-G195&gt;=Lists!$N$6,"Chase again (2nd chase)","Wait – 2nd chase on "&amp;TEXT(G195+Lists!$N$6,"dd/mm/yyyy")),"Call them, then mark Won, Lost or Expired"))))))</f>
        <v/>
      </c>
      <c r="M195" s="38"/>
      <c r="N195" s="42" t="n">
        <f aca="false">IF(I195="Won",IF(K195&lt;&gt;"",K195,N(E195)),0)</f>
        <v>0</v>
      </c>
      <c r="O195" s="42" t="str">
        <f aca="false">IF(ISNUMBER(F195),IF(F195&gt;Lists!$N$6,D195+ROW()/100000,""),"")</f>
        <v/>
      </c>
    </row>
    <row r="196" customFormat="false" ht="27.75" hidden="false" customHeight="true" outlineLevel="0" collapsed="false">
      <c r="A196" s="38"/>
      <c r="B196" s="38"/>
      <c r="C196" s="41"/>
      <c r="D196" s="39"/>
      <c r="E196" s="44"/>
      <c r="F196" s="47" t="str">
        <f aca="true">IF(D196="","",IF(OR(I196="",I196="Sent"),TODAY()-D196,""))</f>
        <v/>
      </c>
      <c r="G196" s="39"/>
      <c r="H196" s="39"/>
      <c r="I196" s="41"/>
      <c r="J196" s="39"/>
      <c r="K196" s="44"/>
      <c r="L196" s="42" t="str">
        <f aca="true">IF(D196="","",IF(AND(OR(I196="Won",I196="Lost"),J196=""),"Add the decision date",IF(I196="Won","Won – book the work in",IF(NOT(OR(I196="",I196="Sent")),"Closed – note why in Notes",IF(G196="",IF(F196&gt;=Lists!$N$6,"Chase now (1st chase)","Wait – 1st chase on "&amp;TEXT(D196+Lists!$N$6,"dd/mm/yyyy")),IF(H196="",IF(TODAY()-G196&gt;=Lists!$N$6,"Chase again (2nd chase)","Wait – 2nd chase on "&amp;TEXT(G196+Lists!$N$6,"dd/mm/yyyy")),"Call them, then mark Won, Lost or Expired"))))))</f>
        <v/>
      </c>
      <c r="M196" s="38"/>
      <c r="N196" s="42" t="n">
        <f aca="false">IF(I196="Won",IF(K196&lt;&gt;"",K196,N(E196)),0)</f>
        <v>0</v>
      </c>
      <c r="O196" s="42" t="str">
        <f aca="false">IF(ISNUMBER(F196),IF(F196&gt;Lists!$N$6,D196+ROW()/100000,""),"")</f>
        <v/>
      </c>
    </row>
    <row r="197" customFormat="false" ht="27.75" hidden="false" customHeight="true" outlineLevel="0" collapsed="false">
      <c r="A197" s="38"/>
      <c r="B197" s="38"/>
      <c r="C197" s="41"/>
      <c r="D197" s="39"/>
      <c r="E197" s="44"/>
      <c r="F197" s="47" t="str">
        <f aca="true">IF(D197="","",IF(OR(I197="",I197="Sent"),TODAY()-D197,""))</f>
        <v/>
      </c>
      <c r="G197" s="39"/>
      <c r="H197" s="39"/>
      <c r="I197" s="41"/>
      <c r="J197" s="39"/>
      <c r="K197" s="44"/>
      <c r="L197" s="42" t="str">
        <f aca="true">IF(D197="","",IF(AND(OR(I197="Won",I197="Lost"),J197=""),"Add the decision date",IF(I197="Won","Won – book the work in",IF(NOT(OR(I197="",I197="Sent")),"Closed – note why in Notes",IF(G197="",IF(F197&gt;=Lists!$N$6,"Chase now (1st chase)","Wait – 1st chase on "&amp;TEXT(D197+Lists!$N$6,"dd/mm/yyyy")),IF(H197="",IF(TODAY()-G197&gt;=Lists!$N$6,"Chase again (2nd chase)","Wait – 2nd chase on "&amp;TEXT(G197+Lists!$N$6,"dd/mm/yyyy")),"Call them, then mark Won, Lost or Expired"))))))</f>
        <v/>
      </c>
      <c r="M197" s="38"/>
      <c r="N197" s="42" t="n">
        <f aca="false">IF(I197="Won",IF(K197&lt;&gt;"",K197,N(E197)),0)</f>
        <v>0</v>
      </c>
      <c r="O197" s="42" t="str">
        <f aca="false">IF(ISNUMBER(F197),IF(F197&gt;Lists!$N$6,D197+ROW()/100000,""),"")</f>
        <v/>
      </c>
    </row>
    <row r="198" customFormat="false" ht="27.75" hidden="false" customHeight="true" outlineLevel="0" collapsed="false">
      <c r="A198" s="38"/>
      <c r="B198" s="38"/>
      <c r="C198" s="41"/>
      <c r="D198" s="39"/>
      <c r="E198" s="44"/>
      <c r="F198" s="47" t="str">
        <f aca="true">IF(D198="","",IF(OR(I198="",I198="Sent"),TODAY()-D198,""))</f>
        <v/>
      </c>
      <c r="G198" s="39"/>
      <c r="H198" s="39"/>
      <c r="I198" s="41"/>
      <c r="J198" s="39"/>
      <c r="K198" s="44"/>
      <c r="L198" s="42" t="str">
        <f aca="true">IF(D198="","",IF(AND(OR(I198="Won",I198="Lost"),J198=""),"Add the decision date",IF(I198="Won","Won – book the work in",IF(NOT(OR(I198="",I198="Sent")),"Closed – note why in Notes",IF(G198="",IF(F198&gt;=Lists!$N$6,"Chase now (1st chase)","Wait – 1st chase on "&amp;TEXT(D198+Lists!$N$6,"dd/mm/yyyy")),IF(H198="",IF(TODAY()-G198&gt;=Lists!$N$6,"Chase again (2nd chase)","Wait – 2nd chase on "&amp;TEXT(G198+Lists!$N$6,"dd/mm/yyyy")),"Call them, then mark Won, Lost or Expired"))))))</f>
        <v/>
      </c>
      <c r="M198" s="38"/>
      <c r="N198" s="42" t="n">
        <f aca="false">IF(I198="Won",IF(K198&lt;&gt;"",K198,N(E198)),0)</f>
        <v>0</v>
      </c>
      <c r="O198" s="42" t="str">
        <f aca="false">IF(ISNUMBER(F198),IF(F198&gt;Lists!$N$6,D198+ROW()/100000,""),"")</f>
        <v/>
      </c>
    </row>
    <row r="199" customFormat="false" ht="27.75" hidden="false" customHeight="true" outlineLevel="0" collapsed="false">
      <c r="A199" s="38"/>
      <c r="B199" s="38"/>
      <c r="C199" s="41"/>
      <c r="D199" s="39"/>
      <c r="E199" s="44"/>
      <c r="F199" s="47" t="str">
        <f aca="true">IF(D199="","",IF(OR(I199="",I199="Sent"),TODAY()-D199,""))</f>
        <v/>
      </c>
      <c r="G199" s="39"/>
      <c r="H199" s="39"/>
      <c r="I199" s="41"/>
      <c r="J199" s="39"/>
      <c r="K199" s="44"/>
      <c r="L199" s="42" t="str">
        <f aca="true">IF(D199="","",IF(AND(OR(I199="Won",I199="Lost"),J199=""),"Add the decision date",IF(I199="Won","Won – book the work in",IF(NOT(OR(I199="",I199="Sent")),"Closed – note why in Notes",IF(G199="",IF(F199&gt;=Lists!$N$6,"Chase now (1st chase)","Wait – 1st chase on "&amp;TEXT(D199+Lists!$N$6,"dd/mm/yyyy")),IF(H199="",IF(TODAY()-G199&gt;=Lists!$N$6,"Chase again (2nd chase)","Wait – 2nd chase on "&amp;TEXT(G199+Lists!$N$6,"dd/mm/yyyy")),"Call them, then mark Won, Lost or Expired"))))))</f>
        <v/>
      </c>
      <c r="M199" s="38"/>
      <c r="N199" s="42" t="n">
        <f aca="false">IF(I199="Won",IF(K199&lt;&gt;"",K199,N(E199)),0)</f>
        <v>0</v>
      </c>
      <c r="O199" s="42" t="str">
        <f aca="false">IF(ISNUMBER(F199),IF(F199&gt;Lists!$N$6,D199+ROW()/100000,""),"")</f>
        <v/>
      </c>
    </row>
    <row r="200" customFormat="false" ht="27.75" hidden="false" customHeight="true" outlineLevel="0" collapsed="false">
      <c r="A200" s="38"/>
      <c r="B200" s="38"/>
      <c r="C200" s="41"/>
      <c r="D200" s="39"/>
      <c r="E200" s="44"/>
      <c r="F200" s="47" t="str">
        <f aca="true">IF(D200="","",IF(OR(I200="",I200="Sent"),TODAY()-D200,""))</f>
        <v/>
      </c>
      <c r="G200" s="39"/>
      <c r="H200" s="39"/>
      <c r="I200" s="41"/>
      <c r="J200" s="39"/>
      <c r="K200" s="44"/>
      <c r="L200" s="42" t="str">
        <f aca="true">IF(D200="","",IF(AND(OR(I200="Won",I200="Lost"),J200=""),"Add the decision date",IF(I200="Won","Won – book the work in",IF(NOT(OR(I200="",I200="Sent")),"Closed – note why in Notes",IF(G200="",IF(F200&gt;=Lists!$N$6,"Chase now (1st chase)","Wait – 1st chase on "&amp;TEXT(D200+Lists!$N$6,"dd/mm/yyyy")),IF(H200="",IF(TODAY()-G200&gt;=Lists!$N$6,"Chase again (2nd chase)","Wait – 2nd chase on "&amp;TEXT(G200+Lists!$N$6,"dd/mm/yyyy")),"Call them, then mark Won, Lost or Expired"))))))</f>
        <v/>
      </c>
      <c r="M200" s="38"/>
      <c r="N200" s="42" t="n">
        <f aca="false">IF(I200="Won",IF(K200&lt;&gt;"",K200,N(E200)),0)</f>
        <v>0</v>
      </c>
      <c r="O200" s="42" t="str">
        <f aca="false">IF(ISNUMBER(F200),IF(F200&gt;Lists!$N$6,D200+ROW()/100000,""),"")</f>
        <v/>
      </c>
    </row>
    <row r="201" customFormat="false" ht="27.75" hidden="false" customHeight="true" outlineLevel="0" collapsed="false">
      <c r="A201" s="38"/>
      <c r="B201" s="38"/>
      <c r="C201" s="41"/>
      <c r="D201" s="39"/>
      <c r="E201" s="44"/>
      <c r="F201" s="47" t="str">
        <f aca="true">IF(D201="","",IF(OR(I201="",I201="Sent"),TODAY()-D201,""))</f>
        <v/>
      </c>
      <c r="G201" s="39"/>
      <c r="H201" s="39"/>
      <c r="I201" s="41"/>
      <c r="J201" s="39"/>
      <c r="K201" s="44"/>
      <c r="L201" s="42" t="str">
        <f aca="true">IF(D201="","",IF(AND(OR(I201="Won",I201="Lost"),J201=""),"Add the decision date",IF(I201="Won","Won – book the work in",IF(NOT(OR(I201="",I201="Sent")),"Closed – note why in Notes",IF(G201="",IF(F201&gt;=Lists!$N$6,"Chase now (1st chase)","Wait – 1st chase on "&amp;TEXT(D201+Lists!$N$6,"dd/mm/yyyy")),IF(H201="",IF(TODAY()-G201&gt;=Lists!$N$6,"Chase again (2nd chase)","Wait – 2nd chase on "&amp;TEXT(G201+Lists!$N$6,"dd/mm/yyyy")),"Call them, then mark Won, Lost or Expired"))))))</f>
        <v/>
      </c>
      <c r="M201" s="38"/>
      <c r="N201" s="42" t="n">
        <f aca="false">IF(I201="Won",IF(K201&lt;&gt;"",K201,N(E201)),0)</f>
        <v>0</v>
      </c>
      <c r="O201" s="42" t="str">
        <f aca="false">IF(ISNUMBER(F201),IF(F201&gt;Lists!$N$6,D201+ROW()/100000,""),"")</f>
        <v/>
      </c>
    </row>
    <row r="202" customFormat="false" ht="27.75" hidden="false" customHeight="true" outlineLevel="0" collapsed="false">
      <c r="A202" s="38"/>
      <c r="B202" s="38"/>
      <c r="C202" s="41"/>
      <c r="D202" s="39"/>
      <c r="E202" s="44"/>
      <c r="F202" s="47" t="str">
        <f aca="true">IF(D202="","",IF(OR(I202="",I202="Sent"),TODAY()-D202,""))</f>
        <v/>
      </c>
      <c r="G202" s="39"/>
      <c r="H202" s="39"/>
      <c r="I202" s="41"/>
      <c r="J202" s="39"/>
      <c r="K202" s="44"/>
      <c r="L202" s="42" t="str">
        <f aca="true">IF(D202="","",IF(AND(OR(I202="Won",I202="Lost"),J202=""),"Add the decision date",IF(I202="Won","Won – book the work in",IF(NOT(OR(I202="",I202="Sent")),"Closed – note why in Notes",IF(G202="",IF(F202&gt;=Lists!$N$6,"Chase now (1st chase)","Wait – 1st chase on "&amp;TEXT(D202+Lists!$N$6,"dd/mm/yyyy")),IF(H202="",IF(TODAY()-G202&gt;=Lists!$N$6,"Chase again (2nd chase)","Wait – 2nd chase on "&amp;TEXT(G202+Lists!$N$6,"dd/mm/yyyy")),"Call them, then mark Won, Lost or Expired"))))))</f>
        <v/>
      </c>
      <c r="M202" s="38"/>
      <c r="N202" s="42" t="n">
        <f aca="false">IF(I202="Won",IF(K202&lt;&gt;"",K202,N(E202)),0)</f>
        <v>0</v>
      </c>
      <c r="O202" s="42" t="str">
        <f aca="false">IF(ISNUMBER(F202),IF(F202&gt;Lists!$N$6,D202+ROW()/100000,""),"")</f>
        <v/>
      </c>
    </row>
    <row r="203" customFormat="false" ht="27.75" hidden="false" customHeight="true" outlineLevel="0" collapsed="false">
      <c r="A203" s="38"/>
      <c r="B203" s="38"/>
      <c r="C203" s="41"/>
      <c r="D203" s="39"/>
      <c r="E203" s="44"/>
      <c r="F203" s="47" t="str">
        <f aca="true">IF(D203="","",IF(OR(I203="",I203="Sent"),TODAY()-D203,""))</f>
        <v/>
      </c>
      <c r="G203" s="39"/>
      <c r="H203" s="39"/>
      <c r="I203" s="41"/>
      <c r="J203" s="39"/>
      <c r="K203" s="44"/>
      <c r="L203" s="42" t="str">
        <f aca="true">IF(D203="","",IF(AND(OR(I203="Won",I203="Lost"),J203=""),"Add the decision date",IF(I203="Won","Won – book the work in",IF(NOT(OR(I203="",I203="Sent")),"Closed – note why in Notes",IF(G203="",IF(F203&gt;=Lists!$N$6,"Chase now (1st chase)","Wait – 1st chase on "&amp;TEXT(D203+Lists!$N$6,"dd/mm/yyyy")),IF(H203="",IF(TODAY()-G203&gt;=Lists!$N$6,"Chase again (2nd chase)","Wait – 2nd chase on "&amp;TEXT(G203+Lists!$N$6,"dd/mm/yyyy")),"Call them, then mark Won, Lost or Expired"))))))</f>
        <v/>
      </c>
      <c r="M203" s="38"/>
      <c r="N203" s="42" t="n">
        <f aca="false">IF(I203="Won",IF(K203&lt;&gt;"",K203,N(E203)),0)</f>
        <v>0</v>
      </c>
      <c r="O203" s="42" t="str">
        <f aca="false">IF(ISNUMBER(F203),IF(F203&gt;Lists!$N$6,D203+ROW()/100000,""),"")</f>
        <v/>
      </c>
    </row>
    <row r="204" customFormat="false" ht="27.75" hidden="false" customHeight="true" outlineLevel="0" collapsed="false">
      <c r="A204" s="38"/>
      <c r="B204" s="38"/>
      <c r="C204" s="41"/>
      <c r="D204" s="39"/>
      <c r="E204" s="44"/>
      <c r="F204" s="47" t="str">
        <f aca="true">IF(D204="","",IF(OR(I204="",I204="Sent"),TODAY()-D204,""))</f>
        <v/>
      </c>
      <c r="G204" s="39"/>
      <c r="H204" s="39"/>
      <c r="I204" s="41"/>
      <c r="J204" s="39"/>
      <c r="K204" s="44"/>
      <c r="L204" s="42" t="str">
        <f aca="true">IF(D204="","",IF(AND(OR(I204="Won",I204="Lost"),J204=""),"Add the decision date",IF(I204="Won","Won – book the work in",IF(NOT(OR(I204="",I204="Sent")),"Closed – note why in Notes",IF(G204="",IF(F204&gt;=Lists!$N$6,"Chase now (1st chase)","Wait – 1st chase on "&amp;TEXT(D204+Lists!$N$6,"dd/mm/yyyy")),IF(H204="",IF(TODAY()-G204&gt;=Lists!$N$6,"Chase again (2nd chase)","Wait – 2nd chase on "&amp;TEXT(G204+Lists!$N$6,"dd/mm/yyyy")),"Call them, then mark Won, Lost or Expired"))))))</f>
        <v/>
      </c>
      <c r="M204" s="38"/>
      <c r="N204" s="42" t="n">
        <f aca="false">IF(I204="Won",IF(K204&lt;&gt;"",K204,N(E204)),0)</f>
        <v>0</v>
      </c>
      <c r="O204" s="42" t="str">
        <f aca="false">IF(ISNUMBER(F204),IF(F204&gt;Lists!$N$6,D204+ROW()/100000,""),"")</f>
        <v/>
      </c>
    </row>
    <row r="205" customFormat="false" ht="27.75" hidden="false" customHeight="true" outlineLevel="0" collapsed="false">
      <c r="A205" s="38"/>
      <c r="B205" s="38"/>
      <c r="C205" s="41"/>
      <c r="D205" s="39"/>
      <c r="E205" s="44"/>
      <c r="F205" s="47" t="str">
        <f aca="true">IF(D205="","",IF(OR(I205="",I205="Sent"),TODAY()-D205,""))</f>
        <v/>
      </c>
      <c r="G205" s="39"/>
      <c r="H205" s="39"/>
      <c r="I205" s="41"/>
      <c r="J205" s="39"/>
      <c r="K205" s="44"/>
      <c r="L205" s="42" t="str">
        <f aca="true">IF(D205="","",IF(AND(OR(I205="Won",I205="Lost"),J205=""),"Add the decision date",IF(I205="Won","Won – book the work in",IF(NOT(OR(I205="",I205="Sent")),"Closed – note why in Notes",IF(G205="",IF(F205&gt;=Lists!$N$6,"Chase now (1st chase)","Wait – 1st chase on "&amp;TEXT(D205+Lists!$N$6,"dd/mm/yyyy")),IF(H205="",IF(TODAY()-G205&gt;=Lists!$N$6,"Chase again (2nd chase)","Wait – 2nd chase on "&amp;TEXT(G205+Lists!$N$6,"dd/mm/yyyy")),"Call them, then mark Won, Lost or Expired"))))))</f>
        <v/>
      </c>
      <c r="M205" s="38"/>
      <c r="N205" s="42" t="n">
        <f aca="false">IF(I205="Won",IF(K205&lt;&gt;"",K205,N(E205)),0)</f>
        <v>0</v>
      </c>
      <c r="O205" s="42" t="str">
        <f aca="false">IF(ISNUMBER(F205),IF(F205&gt;Lists!$N$6,D205+ROW()/100000,""),"")</f>
        <v/>
      </c>
    </row>
    <row r="206" customFormat="false" ht="27.75" hidden="false" customHeight="true" outlineLevel="0" collapsed="false">
      <c r="A206" s="38"/>
      <c r="B206" s="38"/>
      <c r="C206" s="41"/>
      <c r="D206" s="39"/>
      <c r="E206" s="44"/>
      <c r="F206" s="47" t="str">
        <f aca="true">IF(D206="","",IF(OR(I206="",I206="Sent"),TODAY()-D206,""))</f>
        <v/>
      </c>
      <c r="G206" s="39"/>
      <c r="H206" s="39"/>
      <c r="I206" s="41"/>
      <c r="J206" s="39"/>
      <c r="K206" s="44"/>
      <c r="L206" s="42" t="str">
        <f aca="true">IF(D206="","",IF(AND(OR(I206="Won",I206="Lost"),J206=""),"Add the decision date",IF(I206="Won","Won – book the work in",IF(NOT(OR(I206="",I206="Sent")),"Closed – note why in Notes",IF(G206="",IF(F206&gt;=Lists!$N$6,"Chase now (1st chase)","Wait – 1st chase on "&amp;TEXT(D206+Lists!$N$6,"dd/mm/yyyy")),IF(H206="",IF(TODAY()-G206&gt;=Lists!$N$6,"Chase again (2nd chase)","Wait – 2nd chase on "&amp;TEXT(G206+Lists!$N$6,"dd/mm/yyyy")),"Call them, then mark Won, Lost or Expired"))))))</f>
        <v/>
      </c>
      <c r="M206" s="38"/>
      <c r="N206" s="42" t="n">
        <f aca="false">IF(I206="Won",IF(K206&lt;&gt;"",K206,N(E206)),0)</f>
        <v>0</v>
      </c>
      <c r="O206" s="42" t="str">
        <f aca="false">IF(ISNUMBER(F206),IF(F206&gt;Lists!$N$6,D206+ROW()/100000,""),"")</f>
        <v/>
      </c>
    </row>
    <row r="207" customFormat="false" ht="27.75" hidden="false" customHeight="true" outlineLevel="0" collapsed="false">
      <c r="A207" s="38"/>
      <c r="B207" s="38"/>
      <c r="C207" s="41"/>
      <c r="D207" s="39"/>
      <c r="E207" s="44"/>
      <c r="F207" s="47" t="str">
        <f aca="true">IF(D207="","",IF(OR(I207="",I207="Sent"),TODAY()-D207,""))</f>
        <v/>
      </c>
      <c r="G207" s="39"/>
      <c r="H207" s="39"/>
      <c r="I207" s="41"/>
      <c r="J207" s="39"/>
      <c r="K207" s="44"/>
      <c r="L207" s="42" t="str">
        <f aca="true">IF(D207="","",IF(AND(OR(I207="Won",I207="Lost"),J207=""),"Add the decision date",IF(I207="Won","Won – book the work in",IF(NOT(OR(I207="",I207="Sent")),"Closed – note why in Notes",IF(G207="",IF(F207&gt;=Lists!$N$6,"Chase now (1st chase)","Wait – 1st chase on "&amp;TEXT(D207+Lists!$N$6,"dd/mm/yyyy")),IF(H207="",IF(TODAY()-G207&gt;=Lists!$N$6,"Chase again (2nd chase)","Wait – 2nd chase on "&amp;TEXT(G207+Lists!$N$6,"dd/mm/yyyy")),"Call them, then mark Won, Lost or Expired"))))))</f>
        <v/>
      </c>
      <c r="M207" s="38"/>
      <c r="N207" s="42" t="n">
        <f aca="false">IF(I207="Won",IF(K207&lt;&gt;"",K207,N(E207)),0)</f>
        <v>0</v>
      </c>
      <c r="O207" s="42" t="str">
        <f aca="false">IF(ISNUMBER(F207),IF(F207&gt;Lists!$N$6,D207+ROW()/100000,""),"")</f>
        <v/>
      </c>
    </row>
    <row r="208" customFormat="false" ht="27.75" hidden="false" customHeight="true" outlineLevel="0" collapsed="false">
      <c r="A208" s="38"/>
      <c r="B208" s="38"/>
      <c r="C208" s="41"/>
      <c r="D208" s="39"/>
      <c r="E208" s="44"/>
      <c r="F208" s="47" t="str">
        <f aca="true">IF(D208="","",IF(OR(I208="",I208="Sent"),TODAY()-D208,""))</f>
        <v/>
      </c>
      <c r="G208" s="39"/>
      <c r="H208" s="39"/>
      <c r="I208" s="41"/>
      <c r="J208" s="39"/>
      <c r="K208" s="44"/>
      <c r="L208" s="42" t="str">
        <f aca="true">IF(D208="","",IF(AND(OR(I208="Won",I208="Lost"),J208=""),"Add the decision date",IF(I208="Won","Won – book the work in",IF(NOT(OR(I208="",I208="Sent")),"Closed – note why in Notes",IF(G208="",IF(F208&gt;=Lists!$N$6,"Chase now (1st chase)","Wait – 1st chase on "&amp;TEXT(D208+Lists!$N$6,"dd/mm/yyyy")),IF(H208="",IF(TODAY()-G208&gt;=Lists!$N$6,"Chase again (2nd chase)","Wait – 2nd chase on "&amp;TEXT(G208+Lists!$N$6,"dd/mm/yyyy")),"Call them, then mark Won, Lost or Expired"))))))</f>
        <v/>
      </c>
      <c r="M208" s="38"/>
      <c r="N208" s="42" t="n">
        <f aca="false">IF(I208="Won",IF(K208&lt;&gt;"",K208,N(E208)),0)</f>
        <v>0</v>
      </c>
      <c r="O208" s="42" t="str">
        <f aca="false">IF(ISNUMBER(F208),IF(F208&gt;Lists!$N$6,D208+ROW()/100000,""),"")</f>
        <v/>
      </c>
    </row>
    <row r="209" customFormat="false" ht="27.75" hidden="false" customHeight="true" outlineLevel="0" collapsed="false">
      <c r="A209" s="38"/>
      <c r="B209" s="38"/>
      <c r="C209" s="41"/>
      <c r="D209" s="39"/>
      <c r="E209" s="44"/>
      <c r="F209" s="47" t="str">
        <f aca="true">IF(D209="","",IF(OR(I209="",I209="Sent"),TODAY()-D209,""))</f>
        <v/>
      </c>
      <c r="G209" s="39"/>
      <c r="H209" s="39"/>
      <c r="I209" s="41"/>
      <c r="J209" s="39"/>
      <c r="K209" s="44"/>
      <c r="L209" s="42" t="str">
        <f aca="true">IF(D209="","",IF(AND(OR(I209="Won",I209="Lost"),J209=""),"Add the decision date",IF(I209="Won","Won – book the work in",IF(NOT(OR(I209="",I209="Sent")),"Closed – note why in Notes",IF(G209="",IF(F209&gt;=Lists!$N$6,"Chase now (1st chase)","Wait – 1st chase on "&amp;TEXT(D209+Lists!$N$6,"dd/mm/yyyy")),IF(H209="",IF(TODAY()-G209&gt;=Lists!$N$6,"Chase again (2nd chase)","Wait – 2nd chase on "&amp;TEXT(G209+Lists!$N$6,"dd/mm/yyyy")),"Call them, then mark Won, Lost or Expired"))))))</f>
        <v/>
      </c>
      <c r="M209" s="38"/>
      <c r="N209" s="42" t="n">
        <f aca="false">IF(I209="Won",IF(K209&lt;&gt;"",K209,N(E209)),0)</f>
        <v>0</v>
      </c>
      <c r="O209" s="42" t="str">
        <f aca="false">IF(ISNUMBER(F209),IF(F209&gt;Lists!$N$6,D209+ROW()/100000,""),"")</f>
        <v/>
      </c>
    </row>
    <row r="210" customFormat="false" ht="27.75" hidden="false" customHeight="true" outlineLevel="0" collapsed="false">
      <c r="A210" s="38"/>
      <c r="B210" s="38"/>
      <c r="C210" s="41"/>
      <c r="D210" s="39"/>
      <c r="E210" s="44"/>
      <c r="F210" s="47" t="str">
        <f aca="true">IF(D210="","",IF(OR(I210="",I210="Sent"),TODAY()-D210,""))</f>
        <v/>
      </c>
      <c r="G210" s="39"/>
      <c r="H210" s="39"/>
      <c r="I210" s="41"/>
      <c r="J210" s="39"/>
      <c r="K210" s="44"/>
      <c r="L210" s="42" t="str">
        <f aca="true">IF(D210="","",IF(AND(OR(I210="Won",I210="Lost"),J210=""),"Add the decision date",IF(I210="Won","Won – book the work in",IF(NOT(OR(I210="",I210="Sent")),"Closed – note why in Notes",IF(G210="",IF(F210&gt;=Lists!$N$6,"Chase now (1st chase)","Wait – 1st chase on "&amp;TEXT(D210+Lists!$N$6,"dd/mm/yyyy")),IF(H210="",IF(TODAY()-G210&gt;=Lists!$N$6,"Chase again (2nd chase)","Wait – 2nd chase on "&amp;TEXT(G210+Lists!$N$6,"dd/mm/yyyy")),"Call them, then mark Won, Lost or Expired"))))))</f>
        <v/>
      </c>
      <c r="M210" s="38"/>
      <c r="N210" s="42" t="n">
        <f aca="false">IF(I210="Won",IF(K210&lt;&gt;"",K210,N(E210)),0)</f>
        <v>0</v>
      </c>
      <c r="O210" s="42" t="str">
        <f aca="false">IF(ISNUMBER(F210),IF(F210&gt;Lists!$N$6,D210+ROW()/100000,""),"")</f>
        <v/>
      </c>
    </row>
    <row r="211" customFormat="false" ht="27.75" hidden="false" customHeight="true" outlineLevel="0" collapsed="false">
      <c r="A211" s="38"/>
      <c r="B211" s="38"/>
      <c r="C211" s="41"/>
      <c r="D211" s="39"/>
      <c r="E211" s="44"/>
      <c r="F211" s="47" t="str">
        <f aca="true">IF(D211="","",IF(OR(I211="",I211="Sent"),TODAY()-D211,""))</f>
        <v/>
      </c>
      <c r="G211" s="39"/>
      <c r="H211" s="39"/>
      <c r="I211" s="41"/>
      <c r="J211" s="39"/>
      <c r="K211" s="44"/>
      <c r="L211" s="42" t="str">
        <f aca="true">IF(D211="","",IF(AND(OR(I211="Won",I211="Lost"),J211=""),"Add the decision date",IF(I211="Won","Won – book the work in",IF(NOT(OR(I211="",I211="Sent")),"Closed – note why in Notes",IF(G211="",IF(F211&gt;=Lists!$N$6,"Chase now (1st chase)","Wait – 1st chase on "&amp;TEXT(D211+Lists!$N$6,"dd/mm/yyyy")),IF(H211="",IF(TODAY()-G211&gt;=Lists!$N$6,"Chase again (2nd chase)","Wait – 2nd chase on "&amp;TEXT(G211+Lists!$N$6,"dd/mm/yyyy")),"Call them, then mark Won, Lost or Expired"))))))</f>
        <v/>
      </c>
      <c r="M211" s="38"/>
      <c r="N211" s="42" t="n">
        <f aca="false">IF(I211="Won",IF(K211&lt;&gt;"",K211,N(E211)),0)</f>
        <v>0</v>
      </c>
      <c r="O211" s="42" t="str">
        <f aca="false">IF(ISNUMBER(F211),IF(F211&gt;Lists!$N$6,D211+ROW()/100000,""),"")</f>
        <v/>
      </c>
    </row>
    <row r="212" customFormat="false" ht="27.75" hidden="false" customHeight="true" outlineLevel="0" collapsed="false">
      <c r="A212" s="38"/>
      <c r="B212" s="38"/>
      <c r="C212" s="41"/>
      <c r="D212" s="39"/>
      <c r="E212" s="44"/>
      <c r="F212" s="47" t="str">
        <f aca="true">IF(D212="","",IF(OR(I212="",I212="Sent"),TODAY()-D212,""))</f>
        <v/>
      </c>
      <c r="G212" s="39"/>
      <c r="H212" s="39"/>
      <c r="I212" s="41"/>
      <c r="J212" s="39"/>
      <c r="K212" s="44"/>
      <c r="L212" s="42" t="str">
        <f aca="true">IF(D212="","",IF(AND(OR(I212="Won",I212="Lost"),J212=""),"Add the decision date",IF(I212="Won","Won – book the work in",IF(NOT(OR(I212="",I212="Sent")),"Closed – note why in Notes",IF(G212="",IF(F212&gt;=Lists!$N$6,"Chase now (1st chase)","Wait – 1st chase on "&amp;TEXT(D212+Lists!$N$6,"dd/mm/yyyy")),IF(H212="",IF(TODAY()-G212&gt;=Lists!$N$6,"Chase again (2nd chase)","Wait – 2nd chase on "&amp;TEXT(G212+Lists!$N$6,"dd/mm/yyyy")),"Call them, then mark Won, Lost or Expired"))))))</f>
        <v/>
      </c>
      <c r="M212" s="38"/>
      <c r="N212" s="42" t="n">
        <f aca="false">IF(I212="Won",IF(K212&lt;&gt;"",K212,N(E212)),0)</f>
        <v>0</v>
      </c>
      <c r="O212" s="42" t="str">
        <f aca="false">IF(ISNUMBER(F212),IF(F212&gt;Lists!$N$6,D212+ROW()/100000,""),"")</f>
        <v/>
      </c>
    </row>
    <row r="213" customFormat="false" ht="27.75" hidden="false" customHeight="true" outlineLevel="0" collapsed="false">
      <c r="A213" s="38"/>
      <c r="B213" s="38"/>
      <c r="C213" s="41"/>
      <c r="D213" s="39"/>
      <c r="E213" s="44"/>
      <c r="F213" s="47" t="str">
        <f aca="true">IF(D213="","",IF(OR(I213="",I213="Sent"),TODAY()-D213,""))</f>
        <v/>
      </c>
      <c r="G213" s="39"/>
      <c r="H213" s="39"/>
      <c r="I213" s="41"/>
      <c r="J213" s="39"/>
      <c r="K213" s="44"/>
      <c r="L213" s="42" t="str">
        <f aca="true">IF(D213="","",IF(AND(OR(I213="Won",I213="Lost"),J213=""),"Add the decision date",IF(I213="Won","Won – book the work in",IF(NOT(OR(I213="",I213="Sent")),"Closed – note why in Notes",IF(G213="",IF(F213&gt;=Lists!$N$6,"Chase now (1st chase)","Wait – 1st chase on "&amp;TEXT(D213+Lists!$N$6,"dd/mm/yyyy")),IF(H213="",IF(TODAY()-G213&gt;=Lists!$N$6,"Chase again (2nd chase)","Wait – 2nd chase on "&amp;TEXT(G213+Lists!$N$6,"dd/mm/yyyy")),"Call them, then mark Won, Lost or Expired"))))))</f>
        <v/>
      </c>
      <c r="M213" s="38"/>
      <c r="N213" s="42" t="n">
        <f aca="false">IF(I213="Won",IF(K213&lt;&gt;"",K213,N(E213)),0)</f>
        <v>0</v>
      </c>
      <c r="O213" s="42" t="str">
        <f aca="false">IF(ISNUMBER(F213),IF(F213&gt;Lists!$N$6,D213+ROW()/100000,""),"")</f>
        <v/>
      </c>
    </row>
    <row r="214" customFormat="false" ht="27.75" hidden="false" customHeight="true" outlineLevel="0" collapsed="false">
      <c r="A214" s="38"/>
      <c r="B214" s="38"/>
      <c r="C214" s="41"/>
      <c r="D214" s="39"/>
      <c r="E214" s="44"/>
      <c r="F214" s="47" t="str">
        <f aca="true">IF(D214="","",IF(OR(I214="",I214="Sent"),TODAY()-D214,""))</f>
        <v/>
      </c>
      <c r="G214" s="39"/>
      <c r="H214" s="39"/>
      <c r="I214" s="41"/>
      <c r="J214" s="39"/>
      <c r="K214" s="44"/>
      <c r="L214" s="42" t="str">
        <f aca="true">IF(D214="","",IF(AND(OR(I214="Won",I214="Lost"),J214=""),"Add the decision date",IF(I214="Won","Won – book the work in",IF(NOT(OR(I214="",I214="Sent")),"Closed – note why in Notes",IF(G214="",IF(F214&gt;=Lists!$N$6,"Chase now (1st chase)","Wait – 1st chase on "&amp;TEXT(D214+Lists!$N$6,"dd/mm/yyyy")),IF(H214="",IF(TODAY()-G214&gt;=Lists!$N$6,"Chase again (2nd chase)","Wait – 2nd chase on "&amp;TEXT(G214+Lists!$N$6,"dd/mm/yyyy")),"Call them, then mark Won, Lost or Expired"))))))</f>
        <v/>
      </c>
      <c r="M214" s="38"/>
      <c r="N214" s="42" t="n">
        <f aca="false">IF(I214="Won",IF(K214&lt;&gt;"",K214,N(E214)),0)</f>
        <v>0</v>
      </c>
      <c r="O214" s="42" t="str">
        <f aca="false">IF(ISNUMBER(F214),IF(F214&gt;Lists!$N$6,D214+ROW()/100000,""),"")</f>
        <v/>
      </c>
    </row>
    <row r="215" customFormat="false" ht="27.75" hidden="false" customHeight="true" outlineLevel="0" collapsed="false">
      <c r="A215" s="38"/>
      <c r="B215" s="38"/>
      <c r="C215" s="41"/>
      <c r="D215" s="39"/>
      <c r="E215" s="44"/>
      <c r="F215" s="47" t="str">
        <f aca="true">IF(D215="","",IF(OR(I215="",I215="Sent"),TODAY()-D215,""))</f>
        <v/>
      </c>
      <c r="G215" s="39"/>
      <c r="H215" s="39"/>
      <c r="I215" s="41"/>
      <c r="J215" s="39"/>
      <c r="K215" s="44"/>
      <c r="L215" s="42" t="str">
        <f aca="true">IF(D215="","",IF(AND(OR(I215="Won",I215="Lost"),J215=""),"Add the decision date",IF(I215="Won","Won – book the work in",IF(NOT(OR(I215="",I215="Sent")),"Closed – note why in Notes",IF(G215="",IF(F215&gt;=Lists!$N$6,"Chase now (1st chase)","Wait – 1st chase on "&amp;TEXT(D215+Lists!$N$6,"dd/mm/yyyy")),IF(H215="",IF(TODAY()-G215&gt;=Lists!$N$6,"Chase again (2nd chase)","Wait – 2nd chase on "&amp;TEXT(G215+Lists!$N$6,"dd/mm/yyyy")),"Call them, then mark Won, Lost or Expired"))))))</f>
        <v/>
      </c>
      <c r="M215" s="38"/>
      <c r="N215" s="42" t="n">
        <f aca="false">IF(I215="Won",IF(K215&lt;&gt;"",K215,N(E215)),0)</f>
        <v>0</v>
      </c>
      <c r="O215" s="42" t="str">
        <f aca="false">IF(ISNUMBER(F215),IF(F215&gt;Lists!$N$6,D215+ROW()/100000,""),"")</f>
        <v/>
      </c>
    </row>
    <row r="216" customFormat="false" ht="27.75" hidden="false" customHeight="true" outlineLevel="0" collapsed="false">
      <c r="A216" s="38"/>
      <c r="B216" s="38"/>
      <c r="C216" s="41"/>
      <c r="D216" s="39"/>
      <c r="E216" s="44"/>
      <c r="F216" s="47" t="str">
        <f aca="true">IF(D216="","",IF(OR(I216="",I216="Sent"),TODAY()-D216,""))</f>
        <v/>
      </c>
      <c r="G216" s="39"/>
      <c r="H216" s="39"/>
      <c r="I216" s="41"/>
      <c r="J216" s="39"/>
      <c r="K216" s="44"/>
      <c r="L216" s="42" t="str">
        <f aca="true">IF(D216="","",IF(AND(OR(I216="Won",I216="Lost"),J216=""),"Add the decision date",IF(I216="Won","Won – book the work in",IF(NOT(OR(I216="",I216="Sent")),"Closed – note why in Notes",IF(G216="",IF(F216&gt;=Lists!$N$6,"Chase now (1st chase)","Wait – 1st chase on "&amp;TEXT(D216+Lists!$N$6,"dd/mm/yyyy")),IF(H216="",IF(TODAY()-G216&gt;=Lists!$N$6,"Chase again (2nd chase)","Wait – 2nd chase on "&amp;TEXT(G216+Lists!$N$6,"dd/mm/yyyy")),"Call them, then mark Won, Lost or Expired"))))))</f>
        <v/>
      </c>
      <c r="M216" s="38"/>
      <c r="N216" s="42" t="n">
        <f aca="false">IF(I216="Won",IF(K216&lt;&gt;"",K216,N(E216)),0)</f>
        <v>0</v>
      </c>
      <c r="O216" s="42" t="str">
        <f aca="false">IF(ISNUMBER(F216),IF(F216&gt;Lists!$N$6,D216+ROW()/100000,""),"")</f>
        <v/>
      </c>
    </row>
    <row r="217" customFormat="false" ht="27.75" hidden="false" customHeight="true" outlineLevel="0" collapsed="false">
      <c r="A217" s="38"/>
      <c r="B217" s="38"/>
      <c r="C217" s="41"/>
      <c r="D217" s="39"/>
      <c r="E217" s="44"/>
      <c r="F217" s="47" t="str">
        <f aca="true">IF(D217="","",IF(OR(I217="",I217="Sent"),TODAY()-D217,""))</f>
        <v/>
      </c>
      <c r="G217" s="39"/>
      <c r="H217" s="39"/>
      <c r="I217" s="41"/>
      <c r="J217" s="39"/>
      <c r="K217" s="44"/>
      <c r="L217" s="42" t="str">
        <f aca="true">IF(D217="","",IF(AND(OR(I217="Won",I217="Lost"),J217=""),"Add the decision date",IF(I217="Won","Won – book the work in",IF(NOT(OR(I217="",I217="Sent")),"Closed – note why in Notes",IF(G217="",IF(F217&gt;=Lists!$N$6,"Chase now (1st chase)","Wait – 1st chase on "&amp;TEXT(D217+Lists!$N$6,"dd/mm/yyyy")),IF(H217="",IF(TODAY()-G217&gt;=Lists!$N$6,"Chase again (2nd chase)","Wait – 2nd chase on "&amp;TEXT(G217+Lists!$N$6,"dd/mm/yyyy")),"Call them, then mark Won, Lost or Expired"))))))</f>
        <v/>
      </c>
      <c r="M217" s="38"/>
      <c r="N217" s="42" t="n">
        <f aca="false">IF(I217="Won",IF(K217&lt;&gt;"",K217,N(E217)),0)</f>
        <v>0</v>
      </c>
      <c r="O217" s="42" t="str">
        <f aca="false">IF(ISNUMBER(F217),IF(F217&gt;Lists!$N$6,D217+ROW()/100000,""),"")</f>
        <v/>
      </c>
    </row>
    <row r="218" customFormat="false" ht="27.75" hidden="false" customHeight="true" outlineLevel="0" collapsed="false">
      <c r="A218" s="38"/>
      <c r="B218" s="38"/>
      <c r="C218" s="41"/>
      <c r="D218" s="39"/>
      <c r="E218" s="44"/>
      <c r="F218" s="47" t="str">
        <f aca="true">IF(D218="","",IF(OR(I218="",I218="Sent"),TODAY()-D218,""))</f>
        <v/>
      </c>
      <c r="G218" s="39"/>
      <c r="H218" s="39"/>
      <c r="I218" s="41"/>
      <c r="J218" s="39"/>
      <c r="K218" s="44"/>
      <c r="L218" s="42" t="str">
        <f aca="true">IF(D218="","",IF(AND(OR(I218="Won",I218="Lost"),J218=""),"Add the decision date",IF(I218="Won","Won – book the work in",IF(NOT(OR(I218="",I218="Sent")),"Closed – note why in Notes",IF(G218="",IF(F218&gt;=Lists!$N$6,"Chase now (1st chase)","Wait – 1st chase on "&amp;TEXT(D218+Lists!$N$6,"dd/mm/yyyy")),IF(H218="",IF(TODAY()-G218&gt;=Lists!$N$6,"Chase again (2nd chase)","Wait – 2nd chase on "&amp;TEXT(G218+Lists!$N$6,"dd/mm/yyyy")),"Call them, then mark Won, Lost or Expired"))))))</f>
        <v/>
      </c>
      <c r="M218" s="38"/>
      <c r="N218" s="42" t="n">
        <f aca="false">IF(I218="Won",IF(K218&lt;&gt;"",K218,N(E218)),0)</f>
        <v>0</v>
      </c>
      <c r="O218" s="42" t="str">
        <f aca="false">IF(ISNUMBER(F218),IF(F218&gt;Lists!$N$6,D218+ROW()/100000,""),"")</f>
        <v/>
      </c>
    </row>
    <row r="219" customFormat="false" ht="27.75" hidden="false" customHeight="true" outlineLevel="0" collapsed="false">
      <c r="A219" s="38"/>
      <c r="B219" s="38"/>
      <c r="C219" s="41"/>
      <c r="D219" s="39"/>
      <c r="E219" s="44"/>
      <c r="F219" s="47" t="str">
        <f aca="true">IF(D219="","",IF(OR(I219="",I219="Sent"),TODAY()-D219,""))</f>
        <v/>
      </c>
      <c r="G219" s="39"/>
      <c r="H219" s="39"/>
      <c r="I219" s="41"/>
      <c r="J219" s="39"/>
      <c r="K219" s="44"/>
      <c r="L219" s="42" t="str">
        <f aca="true">IF(D219="","",IF(AND(OR(I219="Won",I219="Lost"),J219=""),"Add the decision date",IF(I219="Won","Won – book the work in",IF(NOT(OR(I219="",I219="Sent")),"Closed – note why in Notes",IF(G219="",IF(F219&gt;=Lists!$N$6,"Chase now (1st chase)","Wait – 1st chase on "&amp;TEXT(D219+Lists!$N$6,"dd/mm/yyyy")),IF(H219="",IF(TODAY()-G219&gt;=Lists!$N$6,"Chase again (2nd chase)","Wait – 2nd chase on "&amp;TEXT(G219+Lists!$N$6,"dd/mm/yyyy")),"Call them, then mark Won, Lost or Expired"))))))</f>
        <v/>
      </c>
      <c r="M219" s="38"/>
      <c r="N219" s="42" t="n">
        <f aca="false">IF(I219="Won",IF(K219&lt;&gt;"",K219,N(E219)),0)</f>
        <v>0</v>
      </c>
      <c r="O219" s="42" t="str">
        <f aca="false">IF(ISNUMBER(F219),IF(F219&gt;Lists!$N$6,D219+ROW()/100000,""),"")</f>
        <v/>
      </c>
    </row>
    <row r="220" customFormat="false" ht="27.75" hidden="false" customHeight="true" outlineLevel="0" collapsed="false">
      <c r="A220" s="38"/>
      <c r="B220" s="38"/>
      <c r="C220" s="41"/>
      <c r="D220" s="39"/>
      <c r="E220" s="44"/>
      <c r="F220" s="47" t="str">
        <f aca="true">IF(D220="","",IF(OR(I220="",I220="Sent"),TODAY()-D220,""))</f>
        <v/>
      </c>
      <c r="G220" s="39"/>
      <c r="H220" s="39"/>
      <c r="I220" s="41"/>
      <c r="J220" s="39"/>
      <c r="K220" s="44"/>
      <c r="L220" s="42" t="str">
        <f aca="true">IF(D220="","",IF(AND(OR(I220="Won",I220="Lost"),J220=""),"Add the decision date",IF(I220="Won","Won – book the work in",IF(NOT(OR(I220="",I220="Sent")),"Closed – note why in Notes",IF(G220="",IF(F220&gt;=Lists!$N$6,"Chase now (1st chase)","Wait – 1st chase on "&amp;TEXT(D220+Lists!$N$6,"dd/mm/yyyy")),IF(H220="",IF(TODAY()-G220&gt;=Lists!$N$6,"Chase again (2nd chase)","Wait – 2nd chase on "&amp;TEXT(G220+Lists!$N$6,"dd/mm/yyyy")),"Call them, then mark Won, Lost or Expired"))))))</f>
        <v/>
      </c>
      <c r="M220" s="38"/>
      <c r="N220" s="42" t="n">
        <f aca="false">IF(I220="Won",IF(K220&lt;&gt;"",K220,N(E220)),0)</f>
        <v>0</v>
      </c>
      <c r="O220" s="42" t="str">
        <f aca="false">IF(ISNUMBER(F220),IF(F220&gt;Lists!$N$6,D220+ROW()/100000,""),"")</f>
        <v/>
      </c>
    </row>
    <row r="221" customFormat="false" ht="27.75" hidden="false" customHeight="true" outlineLevel="0" collapsed="false">
      <c r="A221" s="38"/>
      <c r="B221" s="38"/>
      <c r="C221" s="41"/>
      <c r="D221" s="39"/>
      <c r="E221" s="44"/>
      <c r="F221" s="47" t="str">
        <f aca="true">IF(D221="","",IF(OR(I221="",I221="Sent"),TODAY()-D221,""))</f>
        <v/>
      </c>
      <c r="G221" s="39"/>
      <c r="H221" s="39"/>
      <c r="I221" s="41"/>
      <c r="J221" s="39"/>
      <c r="K221" s="44"/>
      <c r="L221" s="42" t="str">
        <f aca="true">IF(D221="","",IF(AND(OR(I221="Won",I221="Lost"),J221=""),"Add the decision date",IF(I221="Won","Won – book the work in",IF(NOT(OR(I221="",I221="Sent")),"Closed – note why in Notes",IF(G221="",IF(F221&gt;=Lists!$N$6,"Chase now (1st chase)","Wait – 1st chase on "&amp;TEXT(D221+Lists!$N$6,"dd/mm/yyyy")),IF(H221="",IF(TODAY()-G221&gt;=Lists!$N$6,"Chase again (2nd chase)","Wait – 2nd chase on "&amp;TEXT(G221+Lists!$N$6,"dd/mm/yyyy")),"Call them, then mark Won, Lost or Expired"))))))</f>
        <v/>
      </c>
      <c r="M221" s="38"/>
      <c r="N221" s="42" t="n">
        <f aca="false">IF(I221="Won",IF(K221&lt;&gt;"",K221,N(E221)),0)</f>
        <v>0</v>
      </c>
      <c r="O221" s="42" t="str">
        <f aca="false">IF(ISNUMBER(F221),IF(F221&gt;Lists!$N$6,D221+ROW()/100000,""),"")</f>
        <v/>
      </c>
    </row>
    <row r="222" customFormat="false" ht="27.75" hidden="false" customHeight="true" outlineLevel="0" collapsed="false">
      <c r="A222" s="38"/>
      <c r="B222" s="38"/>
      <c r="C222" s="41"/>
      <c r="D222" s="39"/>
      <c r="E222" s="44"/>
      <c r="F222" s="47" t="str">
        <f aca="true">IF(D222="","",IF(OR(I222="",I222="Sent"),TODAY()-D222,""))</f>
        <v/>
      </c>
      <c r="G222" s="39"/>
      <c r="H222" s="39"/>
      <c r="I222" s="41"/>
      <c r="J222" s="39"/>
      <c r="K222" s="44"/>
      <c r="L222" s="42" t="str">
        <f aca="true">IF(D222="","",IF(AND(OR(I222="Won",I222="Lost"),J222=""),"Add the decision date",IF(I222="Won","Won – book the work in",IF(NOT(OR(I222="",I222="Sent")),"Closed – note why in Notes",IF(G222="",IF(F222&gt;=Lists!$N$6,"Chase now (1st chase)","Wait – 1st chase on "&amp;TEXT(D222+Lists!$N$6,"dd/mm/yyyy")),IF(H222="",IF(TODAY()-G222&gt;=Lists!$N$6,"Chase again (2nd chase)","Wait – 2nd chase on "&amp;TEXT(G222+Lists!$N$6,"dd/mm/yyyy")),"Call them, then mark Won, Lost or Expired"))))))</f>
        <v/>
      </c>
      <c r="M222" s="38"/>
      <c r="N222" s="42" t="n">
        <f aca="false">IF(I222="Won",IF(K222&lt;&gt;"",K222,N(E222)),0)</f>
        <v>0</v>
      </c>
      <c r="O222" s="42" t="str">
        <f aca="false">IF(ISNUMBER(F222),IF(F222&gt;Lists!$N$6,D222+ROW()/100000,""),"")</f>
        <v/>
      </c>
    </row>
    <row r="223" customFormat="false" ht="27.75" hidden="false" customHeight="true" outlineLevel="0" collapsed="false">
      <c r="A223" s="38"/>
      <c r="B223" s="38"/>
      <c r="C223" s="41"/>
      <c r="D223" s="39"/>
      <c r="E223" s="44"/>
      <c r="F223" s="47" t="str">
        <f aca="true">IF(D223="","",IF(OR(I223="",I223="Sent"),TODAY()-D223,""))</f>
        <v/>
      </c>
      <c r="G223" s="39"/>
      <c r="H223" s="39"/>
      <c r="I223" s="41"/>
      <c r="J223" s="39"/>
      <c r="K223" s="44"/>
      <c r="L223" s="42" t="str">
        <f aca="true">IF(D223="","",IF(AND(OR(I223="Won",I223="Lost"),J223=""),"Add the decision date",IF(I223="Won","Won – book the work in",IF(NOT(OR(I223="",I223="Sent")),"Closed – note why in Notes",IF(G223="",IF(F223&gt;=Lists!$N$6,"Chase now (1st chase)","Wait – 1st chase on "&amp;TEXT(D223+Lists!$N$6,"dd/mm/yyyy")),IF(H223="",IF(TODAY()-G223&gt;=Lists!$N$6,"Chase again (2nd chase)","Wait – 2nd chase on "&amp;TEXT(G223+Lists!$N$6,"dd/mm/yyyy")),"Call them, then mark Won, Lost or Expired"))))))</f>
        <v/>
      </c>
      <c r="M223" s="38"/>
      <c r="N223" s="42" t="n">
        <f aca="false">IF(I223="Won",IF(K223&lt;&gt;"",K223,N(E223)),0)</f>
        <v>0</v>
      </c>
      <c r="O223" s="42" t="str">
        <f aca="false">IF(ISNUMBER(F223),IF(F223&gt;Lists!$N$6,D223+ROW()/100000,""),"")</f>
        <v/>
      </c>
    </row>
    <row r="224" customFormat="false" ht="27.75" hidden="false" customHeight="true" outlineLevel="0" collapsed="false">
      <c r="A224" s="38"/>
      <c r="B224" s="38"/>
      <c r="C224" s="41"/>
      <c r="D224" s="39"/>
      <c r="E224" s="44"/>
      <c r="F224" s="47" t="str">
        <f aca="true">IF(D224="","",IF(OR(I224="",I224="Sent"),TODAY()-D224,""))</f>
        <v/>
      </c>
      <c r="G224" s="39"/>
      <c r="H224" s="39"/>
      <c r="I224" s="41"/>
      <c r="J224" s="39"/>
      <c r="K224" s="44"/>
      <c r="L224" s="42" t="str">
        <f aca="true">IF(D224="","",IF(AND(OR(I224="Won",I224="Lost"),J224=""),"Add the decision date",IF(I224="Won","Won – book the work in",IF(NOT(OR(I224="",I224="Sent")),"Closed – note why in Notes",IF(G224="",IF(F224&gt;=Lists!$N$6,"Chase now (1st chase)","Wait – 1st chase on "&amp;TEXT(D224+Lists!$N$6,"dd/mm/yyyy")),IF(H224="",IF(TODAY()-G224&gt;=Lists!$N$6,"Chase again (2nd chase)","Wait – 2nd chase on "&amp;TEXT(G224+Lists!$N$6,"dd/mm/yyyy")),"Call them, then mark Won, Lost or Expired"))))))</f>
        <v/>
      </c>
      <c r="M224" s="38"/>
      <c r="N224" s="42" t="n">
        <f aca="false">IF(I224="Won",IF(K224&lt;&gt;"",K224,N(E224)),0)</f>
        <v>0</v>
      </c>
      <c r="O224" s="42" t="str">
        <f aca="false">IF(ISNUMBER(F224),IF(F224&gt;Lists!$N$6,D224+ROW()/100000,""),"")</f>
        <v/>
      </c>
    </row>
    <row r="225" customFormat="false" ht="27.75" hidden="false" customHeight="true" outlineLevel="0" collapsed="false">
      <c r="A225" s="38"/>
      <c r="B225" s="38"/>
      <c r="C225" s="41"/>
      <c r="D225" s="39"/>
      <c r="E225" s="44"/>
      <c r="F225" s="47" t="str">
        <f aca="true">IF(D225="","",IF(OR(I225="",I225="Sent"),TODAY()-D225,""))</f>
        <v/>
      </c>
      <c r="G225" s="39"/>
      <c r="H225" s="39"/>
      <c r="I225" s="41"/>
      <c r="J225" s="39"/>
      <c r="K225" s="44"/>
      <c r="L225" s="42" t="str">
        <f aca="true">IF(D225="","",IF(AND(OR(I225="Won",I225="Lost"),J225=""),"Add the decision date",IF(I225="Won","Won – book the work in",IF(NOT(OR(I225="",I225="Sent")),"Closed – note why in Notes",IF(G225="",IF(F225&gt;=Lists!$N$6,"Chase now (1st chase)","Wait – 1st chase on "&amp;TEXT(D225+Lists!$N$6,"dd/mm/yyyy")),IF(H225="",IF(TODAY()-G225&gt;=Lists!$N$6,"Chase again (2nd chase)","Wait – 2nd chase on "&amp;TEXT(G225+Lists!$N$6,"dd/mm/yyyy")),"Call them, then mark Won, Lost or Expired"))))))</f>
        <v/>
      </c>
      <c r="M225" s="38"/>
      <c r="N225" s="42" t="n">
        <f aca="false">IF(I225="Won",IF(K225&lt;&gt;"",K225,N(E225)),0)</f>
        <v>0</v>
      </c>
      <c r="O225" s="42" t="str">
        <f aca="false">IF(ISNUMBER(F225),IF(F225&gt;Lists!$N$6,D225+ROW()/100000,""),"")</f>
        <v/>
      </c>
    </row>
    <row r="226" customFormat="false" ht="27.75" hidden="false" customHeight="true" outlineLevel="0" collapsed="false">
      <c r="A226" s="38"/>
      <c r="B226" s="38"/>
      <c r="C226" s="41"/>
      <c r="D226" s="39"/>
      <c r="E226" s="44"/>
      <c r="F226" s="47" t="str">
        <f aca="true">IF(D226="","",IF(OR(I226="",I226="Sent"),TODAY()-D226,""))</f>
        <v/>
      </c>
      <c r="G226" s="39"/>
      <c r="H226" s="39"/>
      <c r="I226" s="41"/>
      <c r="J226" s="39"/>
      <c r="K226" s="44"/>
      <c r="L226" s="42" t="str">
        <f aca="true">IF(D226="","",IF(AND(OR(I226="Won",I226="Lost"),J226=""),"Add the decision date",IF(I226="Won","Won – book the work in",IF(NOT(OR(I226="",I226="Sent")),"Closed – note why in Notes",IF(G226="",IF(F226&gt;=Lists!$N$6,"Chase now (1st chase)","Wait – 1st chase on "&amp;TEXT(D226+Lists!$N$6,"dd/mm/yyyy")),IF(H226="",IF(TODAY()-G226&gt;=Lists!$N$6,"Chase again (2nd chase)","Wait – 2nd chase on "&amp;TEXT(G226+Lists!$N$6,"dd/mm/yyyy")),"Call them, then mark Won, Lost or Expired"))))))</f>
        <v/>
      </c>
      <c r="M226" s="38"/>
      <c r="N226" s="42" t="n">
        <f aca="false">IF(I226="Won",IF(K226&lt;&gt;"",K226,N(E226)),0)</f>
        <v>0</v>
      </c>
      <c r="O226" s="42" t="str">
        <f aca="false">IF(ISNUMBER(F226),IF(F226&gt;Lists!$N$6,D226+ROW()/100000,""),"")</f>
        <v/>
      </c>
    </row>
    <row r="227" customFormat="false" ht="27.75" hidden="false" customHeight="true" outlineLevel="0" collapsed="false">
      <c r="A227" s="38"/>
      <c r="B227" s="38"/>
      <c r="C227" s="41"/>
      <c r="D227" s="39"/>
      <c r="E227" s="44"/>
      <c r="F227" s="47" t="str">
        <f aca="true">IF(D227="","",IF(OR(I227="",I227="Sent"),TODAY()-D227,""))</f>
        <v/>
      </c>
      <c r="G227" s="39"/>
      <c r="H227" s="39"/>
      <c r="I227" s="41"/>
      <c r="J227" s="39"/>
      <c r="K227" s="44"/>
      <c r="L227" s="42" t="str">
        <f aca="true">IF(D227="","",IF(AND(OR(I227="Won",I227="Lost"),J227=""),"Add the decision date",IF(I227="Won","Won – book the work in",IF(NOT(OR(I227="",I227="Sent")),"Closed – note why in Notes",IF(G227="",IF(F227&gt;=Lists!$N$6,"Chase now (1st chase)","Wait – 1st chase on "&amp;TEXT(D227+Lists!$N$6,"dd/mm/yyyy")),IF(H227="",IF(TODAY()-G227&gt;=Lists!$N$6,"Chase again (2nd chase)","Wait – 2nd chase on "&amp;TEXT(G227+Lists!$N$6,"dd/mm/yyyy")),"Call them, then mark Won, Lost or Expired"))))))</f>
        <v/>
      </c>
      <c r="M227" s="38"/>
      <c r="N227" s="42" t="n">
        <f aca="false">IF(I227="Won",IF(K227&lt;&gt;"",K227,N(E227)),0)</f>
        <v>0</v>
      </c>
      <c r="O227" s="42" t="str">
        <f aca="false">IF(ISNUMBER(F227),IF(F227&gt;Lists!$N$6,D227+ROW()/100000,""),"")</f>
        <v/>
      </c>
    </row>
    <row r="228" customFormat="false" ht="27.75" hidden="false" customHeight="true" outlineLevel="0" collapsed="false">
      <c r="A228" s="38"/>
      <c r="B228" s="38"/>
      <c r="C228" s="41"/>
      <c r="D228" s="39"/>
      <c r="E228" s="44"/>
      <c r="F228" s="47" t="str">
        <f aca="true">IF(D228="","",IF(OR(I228="",I228="Sent"),TODAY()-D228,""))</f>
        <v/>
      </c>
      <c r="G228" s="39"/>
      <c r="H228" s="39"/>
      <c r="I228" s="41"/>
      <c r="J228" s="39"/>
      <c r="K228" s="44"/>
      <c r="L228" s="42" t="str">
        <f aca="true">IF(D228="","",IF(AND(OR(I228="Won",I228="Lost"),J228=""),"Add the decision date",IF(I228="Won","Won – book the work in",IF(NOT(OR(I228="",I228="Sent")),"Closed – note why in Notes",IF(G228="",IF(F228&gt;=Lists!$N$6,"Chase now (1st chase)","Wait – 1st chase on "&amp;TEXT(D228+Lists!$N$6,"dd/mm/yyyy")),IF(H228="",IF(TODAY()-G228&gt;=Lists!$N$6,"Chase again (2nd chase)","Wait – 2nd chase on "&amp;TEXT(G228+Lists!$N$6,"dd/mm/yyyy")),"Call them, then mark Won, Lost or Expired"))))))</f>
        <v/>
      </c>
      <c r="M228" s="38"/>
      <c r="N228" s="42" t="n">
        <f aca="false">IF(I228="Won",IF(K228&lt;&gt;"",K228,N(E228)),0)</f>
        <v>0</v>
      </c>
      <c r="O228" s="42" t="str">
        <f aca="false">IF(ISNUMBER(F228),IF(F228&gt;Lists!$N$6,D228+ROW()/100000,""),"")</f>
        <v/>
      </c>
    </row>
    <row r="229" customFormat="false" ht="27.75" hidden="false" customHeight="true" outlineLevel="0" collapsed="false">
      <c r="A229" s="38"/>
      <c r="B229" s="38"/>
      <c r="C229" s="41"/>
      <c r="D229" s="39"/>
      <c r="E229" s="44"/>
      <c r="F229" s="47" t="str">
        <f aca="true">IF(D229="","",IF(OR(I229="",I229="Sent"),TODAY()-D229,""))</f>
        <v/>
      </c>
      <c r="G229" s="39"/>
      <c r="H229" s="39"/>
      <c r="I229" s="41"/>
      <c r="J229" s="39"/>
      <c r="K229" s="44"/>
      <c r="L229" s="42" t="str">
        <f aca="true">IF(D229="","",IF(AND(OR(I229="Won",I229="Lost"),J229=""),"Add the decision date",IF(I229="Won","Won – book the work in",IF(NOT(OR(I229="",I229="Sent")),"Closed – note why in Notes",IF(G229="",IF(F229&gt;=Lists!$N$6,"Chase now (1st chase)","Wait – 1st chase on "&amp;TEXT(D229+Lists!$N$6,"dd/mm/yyyy")),IF(H229="",IF(TODAY()-G229&gt;=Lists!$N$6,"Chase again (2nd chase)","Wait – 2nd chase on "&amp;TEXT(G229+Lists!$N$6,"dd/mm/yyyy")),"Call them, then mark Won, Lost or Expired"))))))</f>
        <v/>
      </c>
      <c r="M229" s="38"/>
      <c r="N229" s="42" t="n">
        <f aca="false">IF(I229="Won",IF(K229&lt;&gt;"",K229,N(E229)),0)</f>
        <v>0</v>
      </c>
      <c r="O229" s="42" t="str">
        <f aca="false">IF(ISNUMBER(F229),IF(F229&gt;Lists!$N$6,D229+ROW()/100000,""),"")</f>
        <v/>
      </c>
    </row>
    <row r="230" customFormat="false" ht="27.75" hidden="false" customHeight="true" outlineLevel="0" collapsed="false">
      <c r="A230" s="38"/>
      <c r="B230" s="38"/>
      <c r="C230" s="41"/>
      <c r="D230" s="39"/>
      <c r="E230" s="44"/>
      <c r="F230" s="47" t="str">
        <f aca="true">IF(D230="","",IF(OR(I230="",I230="Sent"),TODAY()-D230,""))</f>
        <v/>
      </c>
      <c r="G230" s="39"/>
      <c r="H230" s="39"/>
      <c r="I230" s="41"/>
      <c r="J230" s="39"/>
      <c r="K230" s="44"/>
      <c r="L230" s="42" t="str">
        <f aca="true">IF(D230="","",IF(AND(OR(I230="Won",I230="Lost"),J230=""),"Add the decision date",IF(I230="Won","Won – book the work in",IF(NOT(OR(I230="",I230="Sent")),"Closed – note why in Notes",IF(G230="",IF(F230&gt;=Lists!$N$6,"Chase now (1st chase)","Wait – 1st chase on "&amp;TEXT(D230+Lists!$N$6,"dd/mm/yyyy")),IF(H230="",IF(TODAY()-G230&gt;=Lists!$N$6,"Chase again (2nd chase)","Wait – 2nd chase on "&amp;TEXT(G230+Lists!$N$6,"dd/mm/yyyy")),"Call them, then mark Won, Lost or Expired"))))))</f>
        <v/>
      </c>
      <c r="M230" s="38"/>
      <c r="N230" s="42" t="n">
        <f aca="false">IF(I230="Won",IF(K230&lt;&gt;"",K230,N(E230)),0)</f>
        <v>0</v>
      </c>
      <c r="O230" s="42" t="str">
        <f aca="false">IF(ISNUMBER(F230),IF(F230&gt;Lists!$N$6,D230+ROW()/100000,""),"")</f>
        <v/>
      </c>
    </row>
    <row r="231" customFormat="false" ht="27.75" hidden="false" customHeight="true" outlineLevel="0" collapsed="false">
      <c r="A231" s="38"/>
      <c r="B231" s="38"/>
      <c r="C231" s="41"/>
      <c r="D231" s="39"/>
      <c r="E231" s="44"/>
      <c r="F231" s="47" t="str">
        <f aca="true">IF(D231="","",IF(OR(I231="",I231="Sent"),TODAY()-D231,""))</f>
        <v/>
      </c>
      <c r="G231" s="39"/>
      <c r="H231" s="39"/>
      <c r="I231" s="41"/>
      <c r="J231" s="39"/>
      <c r="K231" s="44"/>
      <c r="L231" s="42" t="str">
        <f aca="true">IF(D231="","",IF(AND(OR(I231="Won",I231="Lost"),J231=""),"Add the decision date",IF(I231="Won","Won – book the work in",IF(NOT(OR(I231="",I231="Sent")),"Closed – note why in Notes",IF(G231="",IF(F231&gt;=Lists!$N$6,"Chase now (1st chase)","Wait – 1st chase on "&amp;TEXT(D231+Lists!$N$6,"dd/mm/yyyy")),IF(H231="",IF(TODAY()-G231&gt;=Lists!$N$6,"Chase again (2nd chase)","Wait – 2nd chase on "&amp;TEXT(G231+Lists!$N$6,"dd/mm/yyyy")),"Call them, then mark Won, Lost or Expired"))))))</f>
        <v/>
      </c>
      <c r="M231" s="38"/>
      <c r="N231" s="42" t="n">
        <f aca="false">IF(I231="Won",IF(K231&lt;&gt;"",K231,N(E231)),0)</f>
        <v>0</v>
      </c>
      <c r="O231" s="42" t="str">
        <f aca="false">IF(ISNUMBER(F231),IF(F231&gt;Lists!$N$6,D231+ROW()/100000,""),"")</f>
        <v/>
      </c>
    </row>
    <row r="232" customFormat="false" ht="27.75" hidden="false" customHeight="true" outlineLevel="0" collapsed="false">
      <c r="A232" s="38"/>
      <c r="B232" s="38"/>
      <c r="C232" s="41"/>
      <c r="D232" s="39"/>
      <c r="E232" s="44"/>
      <c r="F232" s="47" t="str">
        <f aca="true">IF(D232="","",IF(OR(I232="",I232="Sent"),TODAY()-D232,""))</f>
        <v/>
      </c>
      <c r="G232" s="39"/>
      <c r="H232" s="39"/>
      <c r="I232" s="41"/>
      <c r="J232" s="39"/>
      <c r="K232" s="44"/>
      <c r="L232" s="42" t="str">
        <f aca="true">IF(D232="","",IF(AND(OR(I232="Won",I232="Lost"),J232=""),"Add the decision date",IF(I232="Won","Won – book the work in",IF(NOT(OR(I232="",I232="Sent")),"Closed – note why in Notes",IF(G232="",IF(F232&gt;=Lists!$N$6,"Chase now (1st chase)","Wait – 1st chase on "&amp;TEXT(D232+Lists!$N$6,"dd/mm/yyyy")),IF(H232="",IF(TODAY()-G232&gt;=Lists!$N$6,"Chase again (2nd chase)","Wait – 2nd chase on "&amp;TEXT(G232+Lists!$N$6,"dd/mm/yyyy")),"Call them, then mark Won, Lost or Expired"))))))</f>
        <v/>
      </c>
      <c r="M232" s="38"/>
      <c r="N232" s="42" t="n">
        <f aca="false">IF(I232="Won",IF(K232&lt;&gt;"",K232,N(E232)),0)</f>
        <v>0</v>
      </c>
      <c r="O232" s="42" t="str">
        <f aca="false">IF(ISNUMBER(F232),IF(F232&gt;Lists!$N$6,D232+ROW()/100000,""),"")</f>
        <v/>
      </c>
    </row>
    <row r="233" customFormat="false" ht="27.75" hidden="false" customHeight="true" outlineLevel="0" collapsed="false">
      <c r="A233" s="38"/>
      <c r="B233" s="38"/>
      <c r="C233" s="41"/>
      <c r="D233" s="39"/>
      <c r="E233" s="44"/>
      <c r="F233" s="47" t="str">
        <f aca="true">IF(D233="","",IF(OR(I233="",I233="Sent"),TODAY()-D233,""))</f>
        <v/>
      </c>
      <c r="G233" s="39"/>
      <c r="H233" s="39"/>
      <c r="I233" s="41"/>
      <c r="J233" s="39"/>
      <c r="K233" s="44"/>
      <c r="L233" s="42" t="str">
        <f aca="true">IF(D233="","",IF(AND(OR(I233="Won",I233="Lost"),J233=""),"Add the decision date",IF(I233="Won","Won – book the work in",IF(NOT(OR(I233="",I233="Sent")),"Closed – note why in Notes",IF(G233="",IF(F233&gt;=Lists!$N$6,"Chase now (1st chase)","Wait – 1st chase on "&amp;TEXT(D233+Lists!$N$6,"dd/mm/yyyy")),IF(H233="",IF(TODAY()-G233&gt;=Lists!$N$6,"Chase again (2nd chase)","Wait – 2nd chase on "&amp;TEXT(G233+Lists!$N$6,"dd/mm/yyyy")),"Call them, then mark Won, Lost or Expired"))))))</f>
        <v/>
      </c>
      <c r="M233" s="38"/>
      <c r="N233" s="42" t="n">
        <f aca="false">IF(I233="Won",IF(K233&lt;&gt;"",K233,N(E233)),0)</f>
        <v>0</v>
      </c>
      <c r="O233" s="42" t="str">
        <f aca="false">IF(ISNUMBER(F233),IF(F233&gt;Lists!$N$6,D233+ROW()/100000,""),"")</f>
        <v/>
      </c>
    </row>
    <row r="234" customFormat="false" ht="27.75" hidden="false" customHeight="true" outlineLevel="0" collapsed="false">
      <c r="A234" s="38"/>
      <c r="B234" s="38"/>
      <c r="C234" s="41"/>
      <c r="D234" s="39"/>
      <c r="E234" s="44"/>
      <c r="F234" s="47" t="str">
        <f aca="true">IF(D234="","",IF(OR(I234="",I234="Sent"),TODAY()-D234,""))</f>
        <v/>
      </c>
      <c r="G234" s="39"/>
      <c r="H234" s="39"/>
      <c r="I234" s="41"/>
      <c r="J234" s="39"/>
      <c r="K234" s="44"/>
      <c r="L234" s="42" t="str">
        <f aca="true">IF(D234="","",IF(AND(OR(I234="Won",I234="Lost"),J234=""),"Add the decision date",IF(I234="Won","Won – book the work in",IF(NOT(OR(I234="",I234="Sent")),"Closed – note why in Notes",IF(G234="",IF(F234&gt;=Lists!$N$6,"Chase now (1st chase)","Wait – 1st chase on "&amp;TEXT(D234+Lists!$N$6,"dd/mm/yyyy")),IF(H234="",IF(TODAY()-G234&gt;=Lists!$N$6,"Chase again (2nd chase)","Wait – 2nd chase on "&amp;TEXT(G234+Lists!$N$6,"dd/mm/yyyy")),"Call them, then mark Won, Lost or Expired"))))))</f>
        <v/>
      </c>
      <c r="M234" s="38"/>
      <c r="N234" s="42" t="n">
        <f aca="false">IF(I234="Won",IF(K234&lt;&gt;"",K234,N(E234)),0)</f>
        <v>0</v>
      </c>
      <c r="O234" s="42" t="str">
        <f aca="false">IF(ISNUMBER(F234),IF(F234&gt;Lists!$N$6,D234+ROW()/100000,""),"")</f>
        <v/>
      </c>
    </row>
    <row r="235" customFormat="false" ht="27.75" hidden="false" customHeight="true" outlineLevel="0" collapsed="false">
      <c r="A235" s="38"/>
      <c r="B235" s="38"/>
      <c r="C235" s="41"/>
      <c r="D235" s="39"/>
      <c r="E235" s="44"/>
      <c r="F235" s="47" t="str">
        <f aca="true">IF(D235="","",IF(OR(I235="",I235="Sent"),TODAY()-D235,""))</f>
        <v/>
      </c>
      <c r="G235" s="39"/>
      <c r="H235" s="39"/>
      <c r="I235" s="41"/>
      <c r="J235" s="39"/>
      <c r="K235" s="44"/>
      <c r="L235" s="42" t="str">
        <f aca="true">IF(D235="","",IF(AND(OR(I235="Won",I235="Lost"),J235=""),"Add the decision date",IF(I235="Won","Won – book the work in",IF(NOT(OR(I235="",I235="Sent")),"Closed – note why in Notes",IF(G235="",IF(F235&gt;=Lists!$N$6,"Chase now (1st chase)","Wait – 1st chase on "&amp;TEXT(D235+Lists!$N$6,"dd/mm/yyyy")),IF(H235="",IF(TODAY()-G235&gt;=Lists!$N$6,"Chase again (2nd chase)","Wait – 2nd chase on "&amp;TEXT(G235+Lists!$N$6,"dd/mm/yyyy")),"Call them, then mark Won, Lost or Expired"))))))</f>
        <v/>
      </c>
      <c r="M235" s="38"/>
      <c r="N235" s="42" t="n">
        <f aca="false">IF(I235="Won",IF(K235&lt;&gt;"",K235,N(E235)),0)</f>
        <v>0</v>
      </c>
      <c r="O235" s="42" t="str">
        <f aca="false">IF(ISNUMBER(F235),IF(F235&gt;Lists!$N$6,D235+ROW()/100000,""),"")</f>
        <v/>
      </c>
    </row>
    <row r="236" customFormat="false" ht="27.75" hidden="false" customHeight="true" outlineLevel="0" collapsed="false">
      <c r="A236" s="38"/>
      <c r="B236" s="38"/>
      <c r="C236" s="41"/>
      <c r="D236" s="39"/>
      <c r="E236" s="44"/>
      <c r="F236" s="47" t="str">
        <f aca="true">IF(D236="","",IF(OR(I236="",I236="Sent"),TODAY()-D236,""))</f>
        <v/>
      </c>
      <c r="G236" s="39"/>
      <c r="H236" s="39"/>
      <c r="I236" s="41"/>
      <c r="J236" s="39"/>
      <c r="K236" s="44"/>
      <c r="L236" s="42" t="str">
        <f aca="true">IF(D236="","",IF(AND(OR(I236="Won",I236="Lost"),J236=""),"Add the decision date",IF(I236="Won","Won – book the work in",IF(NOT(OR(I236="",I236="Sent")),"Closed – note why in Notes",IF(G236="",IF(F236&gt;=Lists!$N$6,"Chase now (1st chase)","Wait – 1st chase on "&amp;TEXT(D236+Lists!$N$6,"dd/mm/yyyy")),IF(H236="",IF(TODAY()-G236&gt;=Lists!$N$6,"Chase again (2nd chase)","Wait – 2nd chase on "&amp;TEXT(G236+Lists!$N$6,"dd/mm/yyyy")),"Call them, then mark Won, Lost or Expired"))))))</f>
        <v/>
      </c>
      <c r="M236" s="38"/>
      <c r="N236" s="42" t="n">
        <f aca="false">IF(I236="Won",IF(K236&lt;&gt;"",K236,N(E236)),0)</f>
        <v>0</v>
      </c>
      <c r="O236" s="42" t="str">
        <f aca="false">IF(ISNUMBER(F236),IF(F236&gt;Lists!$N$6,D236+ROW()/100000,""),"")</f>
        <v/>
      </c>
    </row>
    <row r="237" customFormat="false" ht="27.75" hidden="false" customHeight="true" outlineLevel="0" collapsed="false">
      <c r="A237" s="38"/>
      <c r="B237" s="38"/>
      <c r="C237" s="41"/>
      <c r="D237" s="39"/>
      <c r="E237" s="44"/>
      <c r="F237" s="47" t="str">
        <f aca="true">IF(D237="","",IF(OR(I237="",I237="Sent"),TODAY()-D237,""))</f>
        <v/>
      </c>
      <c r="G237" s="39"/>
      <c r="H237" s="39"/>
      <c r="I237" s="41"/>
      <c r="J237" s="39"/>
      <c r="K237" s="44"/>
      <c r="L237" s="42" t="str">
        <f aca="true">IF(D237="","",IF(AND(OR(I237="Won",I237="Lost"),J237=""),"Add the decision date",IF(I237="Won","Won – book the work in",IF(NOT(OR(I237="",I237="Sent")),"Closed – note why in Notes",IF(G237="",IF(F237&gt;=Lists!$N$6,"Chase now (1st chase)","Wait – 1st chase on "&amp;TEXT(D237+Lists!$N$6,"dd/mm/yyyy")),IF(H237="",IF(TODAY()-G237&gt;=Lists!$N$6,"Chase again (2nd chase)","Wait – 2nd chase on "&amp;TEXT(G237+Lists!$N$6,"dd/mm/yyyy")),"Call them, then mark Won, Lost or Expired"))))))</f>
        <v/>
      </c>
      <c r="M237" s="38"/>
      <c r="N237" s="42" t="n">
        <f aca="false">IF(I237="Won",IF(K237&lt;&gt;"",K237,N(E237)),0)</f>
        <v>0</v>
      </c>
      <c r="O237" s="42" t="str">
        <f aca="false">IF(ISNUMBER(F237),IF(F237&gt;Lists!$N$6,D237+ROW()/100000,""),"")</f>
        <v/>
      </c>
    </row>
    <row r="238" customFormat="false" ht="27.75" hidden="false" customHeight="true" outlineLevel="0" collapsed="false">
      <c r="A238" s="38"/>
      <c r="B238" s="38"/>
      <c r="C238" s="41"/>
      <c r="D238" s="39"/>
      <c r="E238" s="44"/>
      <c r="F238" s="47" t="str">
        <f aca="true">IF(D238="","",IF(OR(I238="",I238="Sent"),TODAY()-D238,""))</f>
        <v/>
      </c>
      <c r="G238" s="39"/>
      <c r="H238" s="39"/>
      <c r="I238" s="41"/>
      <c r="J238" s="39"/>
      <c r="K238" s="44"/>
      <c r="L238" s="42" t="str">
        <f aca="true">IF(D238="","",IF(AND(OR(I238="Won",I238="Lost"),J238=""),"Add the decision date",IF(I238="Won","Won – book the work in",IF(NOT(OR(I238="",I238="Sent")),"Closed – note why in Notes",IF(G238="",IF(F238&gt;=Lists!$N$6,"Chase now (1st chase)","Wait – 1st chase on "&amp;TEXT(D238+Lists!$N$6,"dd/mm/yyyy")),IF(H238="",IF(TODAY()-G238&gt;=Lists!$N$6,"Chase again (2nd chase)","Wait – 2nd chase on "&amp;TEXT(G238+Lists!$N$6,"dd/mm/yyyy")),"Call them, then mark Won, Lost or Expired"))))))</f>
        <v/>
      </c>
      <c r="M238" s="38"/>
      <c r="N238" s="42" t="n">
        <f aca="false">IF(I238="Won",IF(K238&lt;&gt;"",K238,N(E238)),0)</f>
        <v>0</v>
      </c>
      <c r="O238" s="42" t="str">
        <f aca="false">IF(ISNUMBER(F238),IF(F238&gt;Lists!$N$6,D238+ROW()/100000,""),"")</f>
        <v/>
      </c>
    </row>
    <row r="239" customFormat="false" ht="27.75" hidden="false" customHeight="true" outlineLevel="0" collapsed="false">
      <c r="A239" s="38"/>
      <c r="B239" s="38"/>
      <c r="C239" s="41"/>
      <c r="D239" s="39"/>
      <c r="E239" s="44"/>
      <c r="F239" s="47" t="str">
        <f aca="true">IF(D239="","",IF(OR(I239="",I239="Sent"),TODAY()-D239,""))</f>
        <v/>
      </c>
      <c r="G239" s="39"/>
      <c r="H239" s="39"/>
      <c r="I239" s="41"/>
      <c r="J239" s="39"/>
      <c r="K239" s="44"/>
      <c r="L239" s="42" t="str">
        <f aca="true">IF(D239="","",IF(AND(OR(I239="Won",I239="Lost"),J239=""),"Add the decision date",IF(I239="Won","Won – book the work in",IF(NOT(OR(I239="",I239="Sent")),"Closed – note why in Notes",IF(G239="",IF(F239&gt;=Lists!$N$6,"Chase now (1st chase)","Wait – 1st chase on "&amp;TEXT(D239+Lists!$N$6,"dd/mm/yyyy")),IF(H239="",IF(TODAY()-G239&gt;=Lists!$N$6,"Chase again (2nd chase)","Wait – 2nd chase on "&amp;TEXT(G239+Lists!$N$6,"dd/mm/yyyy")),"Call them, then mark Won, Lost or Expired"))))))</f>
        <v/>
      </c>
      <c r="M239" s="38"/>
      <c r="N239" s="42" t="n">
        <f aca="false">IF(I239="Won",IF(K239&lt;&gt;"",K239,N(E239)),0)</f>
        <v>0</v>
      </c>
      <c r="O239" s="42" t="str">
        <f aca="false">IF(ISNUMBER(F239),IF(F239&gt;Lists!$N$6,D239+ROW()/100000,""),"")</f>
        <v/>
      </c>
    </row>
    <row r="240" customFormat="false" ht="27.75" hidden="false" customHeight="true" outlineLevel="0" collapsed="false">
      <c r="A240" s="38"/>
      <c r="B240" s="38"/>
      <c r="C240" s="41"/>
      <c r="D240" s="39"/>
      <c r="E240" s="44"/>
      <c r="F240" s="47" t="str">
        <f aca="true">IF(D240="","",IF(OR(I240="",I240="Sent"),TODAY()-D240,""))</f>
        <v/>
      </c>
      <c r="G240" s="39"/>
      <c r="H240" s="39"/>
      <c r="I240" s="41"/>
      <c r="J240" s="39"/>
      <c r="K240" s="44"/>
      <c r="L240" s="42" t="str">
        <f aca="true">IF(D240="","",IF(AND(OR(I240="Won",I240="Lost"),J240=""),"Add the decision date",IF(I240="Won","Won – book the work in",IF(NOT(OR(I240="",I240="Sent")),"Closed – note why in Notes",IF(G240="",IF(F240&gt;=Lists!$N$6,"Chase now (1st chase)","Wait – 1st chase on "&amp;TEXT(D240+Lists!$N$6,"dd/mm/yyyy")),IF(H240="",IF(TODAY()-G240&gt;=Lists!$N$6,"Chase again (2nd chase)","Wait – 2nd chase on "&amp;TEXT(G240+Lists!$N$6,"dd/mm/yyyy")),"Call them, then mark Won, Lost or Expired"))))))</f>
        <v/>
      </c>
      <c r="M240" s="38"/>
      <c r="N240" s="42" t="n">
        <f aca="false">IF(I240="Won",IF(K240&lt;&gt;"",K240,N(E240)),0)</f>
        <v>0</v>
      </c>
      <c r="O240" s="42" t="str">
        <f aca="false">IF(ISNUMBER(F240),IF(F240&gt;Lists!$N$6,D240+ROW()/100000,""),"")</f>
        <v/>
      </c>
    </row>
    <row r="241" customFormat="false" ht="27.75" hidden="false" customHeight="true" outlineLevel="0" collapsed="false">
      <c r="A241" s="38"/>
      <c r="B241" s="38"/>
      <c r="C241" s="41"/>
      <c r="D241" s="39"/>
      <c r="E241" s="44"/>
      <c r="F241" s="47" t="str">
        <f aca="true">IF(D241="","",IF(OR(I241="",I241="Sent"),TODAY()-D241,""))</f>
        <v/>
      </c>
      <c r="G241" s="39"/>
      <c r="H241" s="39"/>
      <c r="I241" s="41"/>
      <c r="J241" s="39"/>
      <c r="K241" s="44"/>
      <c r="L241" s="42" t="str">
        <f aca="true">IF(D241="","",IF(AND(OR(I241="Won",I241="Lost"),J241=""),"Add the decision date",IF(I241="Won","Won – book the work in",IF(NOT(OR(I241="",I241="Sent")),"Closed – note why in Notes",IF(G241="",IF(F241&gt;=Lists!$N$6,"Chase now (1st chase)","Wait – 1st chase on "&amp;TEXT(D241+Lists!$N$6,"dd/mm/yyyy")),IF(H241="",IF(TODAY()-G241&gt;=Lists!$N$6,"Chase again (2nd chase)","Wait – 2nd chase on "&amp;TEXT(G241+Lists!$N$6,"dd/mm/yyyy")),"Call them, then mark Won, Lost or Expired"))))))</f>
        <v/>
      </c>
      <c r="M241" s="38"/>
      <c r="N241" s="42" t="n">
        <f aca="false">IF(I241="Won",IF(K241&lt;&gt;"",K241,N(E241)),0)</f>
        <v>0</v>
      </c>
      <c r="O241" s="42" t="str">
        <f aca="false">IF(ISNUMBER(F241),IF(F241&gt;Lists!$N$6,D241+ROW()/100000,""),"")</f>
        <v/>
      </c>
    </row>
    <row r="242" customFormat="false" ht="27.75" hidden="false" customHeight="true" outlineLevel="0" collapsed="false">
      <c r="A242" s="38"/>
      <c r="B242" s="38"/>
      <c r="C242" s="41"/>
      <c r="D242" s="39"/>
      <c r="E242" s="44"/>
      <c r="F242" s="47" t="str">
        <f aca="true">IF(D242="","",IF(OR(I242="",I242="Sent"),TODAY()-D242,""))</f>
        <v/>
      </c>
      <c r="G242" s="39"/>
      <c r="H242" s="39"/>
      <c r="I242" s="41"/>
      <c r="J242" s="39"/>
      <c r="K242" s="44"/>
      <c r="L242" s="42" t="str">
        <f aca="true">IF(D242="","",IF(AND(OR(I242="Won",I242="Lost"),J242=""),"Add the decision date",IF(I242="Won","Won – book the work in",IF(NOT(OR(I242="",I242="Sent")),"Closed – note why in Notes",IF(G242="",IF(F242&gt;=Lists!$N$6,"Chase now (1st chase)","Wait – 1st chase on "&amp;TEXT(D242+Lists!$N$6,"dd/mm/yyyy")),IF(H242="",IF(TODAY()-G242&gt;=Lists!$N$6,"Chase again (2nd chase)","Wait – 2nd chase on "&amp;TEXT(G242+Lists!$N$6,"dd/mm/yyyy")),"Call them, then mark Won, Lost or Expired"))))))</f>
        <v/>
      </c>
      <c r="M242" s="38"/>
      <c r="N242" s="42" t="n">
        <f aca="false">IF(I242="Won",IF(K242&lt;&gt;"",K242,N(E242)),0)</f>
        <v>0</v>
      </c>
      <c r="O242" s="42" t="str">
        <f aca="false">IF(ISNUMBER(F242),IF(F242&gt;Lists!$N$6,D242+ROW()/100000,""),"")</f>
        <v/>
      </c>
    </row>
    <row r="243" customFormat="false" ht="27.75" hidden="false" customHeight="true" outlineLevel="0" collapsed="false">
      <c r="A243" s="38"/>
      <c r="B243" s="38"/>
      <c r="C243" s="41"/>
      <c r="D243" s="39"/>
      <c r="E243" s="44"/>
      <c r="F243" s="47" t="str">
        <f aca="true">IF(D243="","",IF(OR(I243="",I243="Sent"),TODAY()-D243,""))</f>
        <v/>
      </c>
      <c r="G243" s="39"/>
      <c r="H243" s="39"/>
      <c r="I243" s="41"/>
      <c r="J243" s="39"/>
      <c r="K243" s="44"/>
      <c r="L243" s="42" t="str">
        <f aca="true">IF(D243="","",IF(AND(OR(I243="Won",I243="Lost"),J243=""),"Add the decision date",IF(I243="Won","Won – book the work in",IF(NOT(OR(I243="",I243="Sent")),"Closed – note why in Notes",IF(G243="",IF(F243&gt;=Lists!$N$6,"Chase now (1st chase)","Wait – 1st chase on "&amp;TEXT(D243+Lists!$N$6,"dd/mm/yyyy")),IF(H243="",IF(TODAY()-G243&gt;=Lists!$N$6,"Chase again (2nd chase)","Wait – 2nd chase on "&amp;TEXT(G243+Lists!$N$6,"dd/mm/yyyy")),"Call them, then mark Won, Lost or Expired"))))))</f>
        <v/>
      </c>
      <c r="M243" s="38"/>
      <c r="N243" s="42" t="n">
        <f aca="false">IF(I243="Won",IF(K243&lt;&gt;"",K243,N(E243)),0)</f>
        <v>0</v>
      </c>
      <c r="O243" s="42" t="str">
        <f aca="false">IF(ISNUMBER(F243),IF(F243&gt;Lists!$N$6,D243+ROW()/100000,""),"")</f>
        <v/>
      </c>
    </row>
    <row r="244" customFormat="false" ht="27.75" hidden="false" customHeight="true" outlineLevel="0" collapsed="false">
      <c r="A244" s="38"/>
      <c r="B244" s="38"/>
      <c r="C244" s="41"/>
      <c r="D244" s="39"/>
      <c r="E244" s="44"/>
      <c r="F244" s="47" t="str">
        <f aca="true">IF(D244="","",IF(OR(I244="",I244="Sent"),TODAY()-D244,""))</f>
        <v/>
      </c>
      <c r="G244" s="39"/>
      <c r="H244" s="39"/>
      <c r="I244" s="41"/>
      <c r="J244" s="39"/>
      <c r="K244" s="44"/>
      <c r="L244" s="42" t="str">
        <f aca="true">IF(D244="","",IF(AND(OR(I244="Won",I244="Lost"),J244=""),"Add the decision date",IF(I244="Won","Won – book the work in",IF(NOT(OR(I244="",I244="Sent")),"Closed – note why in Notes",IF(G244="",IF(F244&gt;=Lists!$N$6,"Chase now (1st chase)","Wait – 1st chase on "&amp;TEXT(D244+Lists!$N$6,"dd/mm/yyyy")),IF(H244="",IF(TODAY()-G244&gt;=Lists!$N$6,"Chase again (2nd chase)","Wait – 2nd chase on "&amp;TEXT(G244+Lists!$N$6,"dd/mm/yyyy")),"Call them, then mark Won, Lost or Expired"))))))</f>
        <v/>
      </c>
      <c r="M244" s="38"/>
      <c r="N244" s="42" t="n">
        <f aca="false">IF(I244="Won",IF(K244&lt;&gt;"",K244,N(E244)),0)</f>
        <v>0</v>
      </c>
      <c r="O244" s="42" t="str">
        <f aca="false">IF(ISNUMBER(F244),IF(F244&gt;Lists!$N$6,D244+ROW()/100000,""),"")</f>
        <v/>
      </c>
    </row>
    <row r="245" customFormat="false" ht="27.75" hidden="false" customHeight="true" outlineLevel="0" collapsed="false">
      <c r="A245" s="38"/>
      <c r="B245" s="38"/>
      <c r="C245" s="41"/>
      <c r="D245" s="39"/>
      <c r="E245" s="44"/>
      <c r="F245" s="47" t="str">
        <f aca="true">IF(D245="","",IF(OR(I245="",I245="Sent"),TODAY()-D245,""))</f>
        <v/>
      </c>
      <c r="G245" s="39"/>
      <c r="H245" s="39"/>
      <c r="I245" s="41"/>
      <c r="J245" s="39"/>
      <c r="K245" s="44"/>
      <c r="L245" s="42" t="str">
        <f aca="true">IF(D245="","",IF(AND(OR(I245="Won",I245="Lost"),J245=""),"Add the decision date",IF(I245="Won","Won – book the work in",IF(NOT(OR(I245="",I245="Sent")),"Closed – note why in Notes",IF(G245="",IF(F245&gt;=Lists!$N$6,"Chase now (1st chase)","Wait – 1st chase on "&amp;TEXT(D245+Lists!$N$6,"dd/mm/yyyy")),IF(H245="",IF(TODAY()-G245&gt;=Lists!$N$6,"Chase again (2nd chase)","Wait – 2nd chase on "&amp;TEXT(G245+Lists!$N$6,"dd/mm/yyyy")),"Call them, then mark Won, Lost or Expired"))))))</f>
        <v/>
      </c>
      <c r="M245" s="38"/>
      <c r="N245" s="42" t="n">
        <f aca="false">IF(I245="Won",IF(K245&lt;&gt;"",K245,N(E245)),0)</f>
        <v>0</v>
      </c>
      <c r="O245" s="42" t="str">
        <f aca="false">IF(ISNUMBER(F245),IF(F245&gt;Lists!$N$6,D245+ROW()/100000,""),"")</f>
        <v/>
      </c>
    </row>
    <row r="246" customFormat="false" ht="27.75" hidden="false" customHeight="true" outlineLevel="0" collapsed="false">
      <c r="A246" s="38"/>
      <c r="B246" s="38"/>
      <c r="C246" s="41"/>
      <c r="D246" s="39"/>
      <c r="E246" s="44"/>
      <c r="F246" s="47" t="str">
        <f aca="true">IF(D246="","",IF(OR(I246="",I246="Sent"),TODAY()-D246,""))</f>
        <v/>
      </c>
      <c r="G246" s="39"/>
      <c r="H246" s="39"/>
      <c r="I246" s="41"/>
      <c r="J246" s="39"/>
      <c r="K246" s="44"/>
      <c r="L246" s="42" t="str">
        <f aca="true">IF(D246="","",IF(AND(OR(I246="Won",I246="Lost"),J246=""),"Add the decision date",IF(I246="Won","Won – book the work in",IF(NOT(OR(I246="",I246="Sent")),"Closed – note why in Notes",IF(G246="",IF(F246&gt;=Lists!$N$6,"Chase now (1st chase)","Wait – 1st chase on "&amp;TEXT(D246+Lists!$N$6,"dd/mm/yyyy")),IF(H246="",IF(TODAY()-G246&gt;=Lists!$N$6,"Chase again (2nd chase)","Wait – 2nd chase on "&amp;TEXT(G246+Lists!$N$6,"dd/mm/yyyy")),"Call them, then mark Won, Lost or Expired"))))))</f>
        <v/>
      </c>
      <c r="M246" s="38"/>
      <c r="N246" s="42" t="n">
        <f aca="false">IF(I246="Won",IF(K246&lt;&gt;"",K246,N(E246)),0)</f>
        <v>0</v>
      </c>
      <c r="O246" s="42" t="str">
        <f aca="false">IF(ISNUMBER(F246),IF(F246&gt;Lists!$N$6,D246+ROW()/100000,""),"")</f>
        <v/>
      </c>
    </row>
    <row r="247" customFormat="false" ht="27.75" hidden="false" customHeight="true" outlineLevel="0" collapsed="false">
      <c r="A247" s="38"/>
      <c r="B247" s="38"/>
      <c r="C247" s="41"/>
      <c r="D247" s="39"/>
      <c r="E247" s="44"/>
      <c r="F247" s="47" t="str">
        <f aca="true">IF(D247="","",IF(OR(I247="",I247="Sent"),TODAY()-D247,""))</f>
        <v/>
      </c>
      <c r="G247" s="39"/>
      <c r="H247" s="39"/>
      <c r="I247" s="41"/>
      <c r="J247" s="39"/>
      <c r="K247" s="44"/>
      <c r="L247" s="42" t="str">
        <f aca="true">IF(D247="","",IF(AND(OR(I247="Won",I247="Lost"),J247=""),"Add the decision date",IF(I247="Won","Won – book the work in",IF(NOT(OR(I247="",I247="Sent")),"Closed – note why in Notes",IF(G247="",IF(F247&gt;=Lists!$N$6,"Chase now (1st chase)","Wait – 1st chase on "&amp;TEXT(D247+Lists!$N$6,"dd/mm/yyyy")),IF(H247="",IF(TODAY()-G247&gt;=Lists!$N$6,"Chase again (2nd chase)","Wait – 2nd chase on "&amp;TEXT(G247+Lists!$N$6,"dd/mm/yyyy")),"Call them, then mark Won, Lost or Expired"))))))</f>
        <v/>
      </c>
      <c r="M247" s="38"/>
      <c r="N247" s="42" t="n">
        <f aca="false">IF(I247="Won",IF(K247&lt;&gt;"",K247,N(E247)),0)</f>
        <v>0</v>
      </c>
      <c r="O247" s="42" t="str">
        <f aca="false">IF(ISNUMBER(F247),IF(F247&gt;Lists!$N$6,D247+ROW()/100000,""),"")</f>
        <v/>
      </c>
    </row>
    <row r="248" customFormat="false" ht="27.75" hidden="false" customHeight="true" outlineLevel="0" collapsed="false">
      <c r="A248" s="38"/>
      <c r="B248" s="38"/>
      <c r="C248" s="41"/>
      <c r="D248" s="39"/>
      <c r="E248" s="44"/>
      <c r="F248" s="47" t="str">
        <f aca="true">IF(D248="","",IF(OR(I248="",I248="Sent"),TODAY()-D248,""))</f>
        <v/>
      </c>
      <c r="G248" s="39"/>
      <c r="H248" s="39"/>
      <c r="I248" s="41"/>
      <c r="J248" s="39"/>
      <c r="K248" s="44"/>
      <c r="L248" s="42" t="str">
        <f aca="true">IF(D248="","",IF(AND(OR(I248="Won",I248="Lost"),J248=""),"Add the decision date",IF(I248="Won","Won – book the work in",IF(NOT(OR(I248="",I248="Sent")),"Closed – note why in Notes",IF(G248="",IF(F248&gt;=Lists!$N$6,"Chase now (1st chase)","Wait – 1st chase on "&amp;TEXT(D248+Lists!$N$6,"dd/mm/yyyy")),IF(H248="",IF(TODAY()-G248&gt;=Lists!$N$6,"Chase again (2nd chase)","Wait – 2nd chase on "&amp;TEXT(G248+Lists!$N$6,"dd/mm/yyyy")),"Call them, then mark Won, Lost or Expired"))))))</f>
        <v/>
      </c>
      <c r="M248" s="38"/>
      <c r="N248" s="42" t="n">
        <f aca="false">IF(I248="Won",IF(K248&lt;&gt;"",K248,N(E248)),0)</f>
        <v>0</v>
      </c>
      <c r="O248" s="42" t="str">
        <f aca="false">IF(ISNUMBER(F248),IF(F248&gt;Lists!$N$6,D248+ROW()/100000,""),"")</f>
        <v/>
      </c>
    </row>
    <row r="249" customFormat="false" ht="27.75" hidden="false" customHeight="true" outlineLevel="0" collapsed="false">
      <c r="A249" s="38"/>
      <c r="B249" s="38"/>
      <c r="C249" s="41"/>
      <c r="D249" s="39"/>
      <c r="E249" s="44"/>
      <c r="F249" s="47" t="str">
        <f aca="true">IF(D249="","",IF(OR(I249="",I249="Sent"),TODAY()-D249,""))</f>
        <v/>
      </c>
      <c r="G249" s="39"/>
      <c r="H249" s="39"/>
      <c r="I249" s="41"/>
      <c r="J249" s="39"/>
      <c r="K249" s="44"/>
      <c r="L249" s="42" t="str">
        <f aca="true">IF(D249="","",IF(AND(OR(I249="Won",I249="Lost"),J249=""),"Add the decision date",IF(I249="Won","Won – book the work in",IF(NOT(OR(I249="",I249="Sent")),"Closed – note why in Notes",IF(G249="",IF(F249&gt;=Lists!$N$6,"Chase now (1st chase)","Wait – 1st chase on "&amp;TEXT(D249+Lists!$N$6,"dd/mm/yyyy")),IF(H249="",IF(TODAY()-G249&gt;=Lists!$N$6,"Chase again (2nd chase)","Wait – 2nd chase on "&amp;TEXT(G249+Lists!$N$6,"dd/mm/yyyy")),"Call them, then mark Won, Lost or Expired"))))))</f>
        <v/>
      </c>
      <c r="M249" s="38"/>
      <c r="N249" s="42" t="n">
        <f aca="false">IF(I249="Won",IF(K249&lt;&gt;"",K249,N(E249)),0)</f>
        <v>0</v>
      </c>
      <c r="O249" s="42" t="str">
        <f aca="false">IF(ISNUMBER(F249),IF(F249&gt;Lists!$N$6,D249+ROW()/100000,""),"")</f>
        <v/>
      </c>
    </row>
    <row r="250" customFormat="false" ht="27.75" hidden="false" customHeight="true" outlineLevel="0" collapsed="false">
      <c r="A250" s="38"/>
      <c r="B250" s="38"/>
      <c r="C250" s="41"/>
      <c r="D250" s="39"/>
      <c r="E250" s="44"/>
      <c r="F250" s="47" t="str">
        <f aca="true">IF(D250="","",IF(OR(I250="",I250="Sent"),TODAY()-D250,""))</f>
        <v/>
      </c>
      <c r="G250" s="39"/>
      <c r="H250" s="39"/>
      <c r="I250" s="41"/>
      <c r="J250" s="39"/>
      <c r="K250" s="44"/>
      <c r="L250" s="42" t="str">
        <f aca="true">IF(D250="","",IF(AND(OR(I250="Won",I250="Lost"),J250=""),"Add the decision date",IF(I250="Won","Won – book the work in",IF(NOT(OR(I250="",I250="Sent")),"Closed – note why in Notes",IF(G250="",IF(F250&gt;=Lists!$N$6,"Chase now (1st chase)","Wait – 1st chase on "&amp;TEXT(D250+Lists!$N$6,"dd/mm/yyyy")),IF(H250="",IF(TODAY()-G250&gt;=Lists!$N$6,"Chase again (2nd chase)","Wait – 2nd chase on "&amp;TEXT(G250+Lists!$N$6,"dd/mm/yyyy")),"Call them, then mark Won, Lost or Expired"))))))</f>
        <v/>
      </c>
      <c r="M250" s="38"/>
      <c r="N250" s="42" t="n">
        <f aca="false">IF(I250="Won",IF(K250&lt;&gt;"",K250,N(E250)),0)</f>
        <v>0</v>
      </c>
      <c r="O250" s="42" t="str">
        <f aca="false">IF(ISNUMBER(F250),IF(F250&gt;Lists!$N$6,D250+ROW()/100000,""),"")</f>
        <v/>
      </c>
    </row>
    <row r="251" customFormat="false" ht="27.75" hidden="false" customHeight="true" outlineLevel="0" collapsed="false">
      <c r="A251" s="38"/>
      <c r="B251" s="38"/>
      <c r="C251" s="41"/>
      <c r="D251" s="39"/>
      <c r="E251" s="44"/>
      <c r="F251" s="47" t="str">
        <f aca="true">IF(D251="","",IF(OR(I251="",I251="Sent"),TODAY()-D251,""))</f>
        <v/>
      </c>
      <c r="G251" s="39"/>
      <c r="H251" s="39"/>
      <c r="I251" s="41"/>
      <c r="J251" s="39"/>
      <c r="K251" s="44"/>
      <c r="L251" s="42" t="str">
        <f aca="true">IF(D251="","",IF(AND(OR(I251="Won",I251="Lost"),J251=""),"Add the decision date",IF(I251="Won","Won – book the work in",IF(NOT(OR(I251="",I251="Sent")),"Closed – note why in Notes",IF(G251="",IF(F251&gt;=Lists!$N$6,"Chase now (1st chase)","Wait – 1st chase on "&amp;TEXT(D251+Lists!$N$6,"dd/mm/yyyy")),IF(H251="",IF(TODAY()-G251&gt;=Lists!$N$6,"Chase again (2nd chase)","Wait – 2nd chase on "&amp;TEXT(G251+Lists!$N$6,"dd/mm/yyyy")),"Call them, then mark Won, Lost or Expired"))))))</f>
        <v/>
      </c>
      <c r="M251" s="38"/>
      <c r="N251" s="42" t="n">
        <f aca="false">IF(I251="Won",IF(K251&lt;&gt;"",K251,N(E251)),0)</f>
        <v>0</v>
      </c>
      <c r="O251" s="42" t="str">
        <f aca="false">IF(ISNUMBER(F251),IF(F251&gt;Lists!$N$6,D251+ROW()/100000,""),"")</f>
        <v/>
      </c>
    </row>
    <row r="252" customFormat="false" ht="27.75" hidden="false" customHeight="true" outlineLevel="0" collapsed="false">
      <c r="A252" s="38"/>
      <c r="B252" s="38"/>
      <c r="C252" s="41"/>
      <c r="D252" s="39"/>
      <c r="E252" s="44"/>
      <c r="F252" s="47" t="str">
        <f aca="true">IF(D252="","",IF(OR(I252="",I252="Sent"),TODAY()-D252,""))</f>
        <v/>
      </c>
      <c r="G252" s="39"/>
      <c r="H252" s="39"/>
      <c r="I252" s="41"/>
      <c r="J252" s="39"/>
      <c r="K252" s="44"/>
      <c r="L252" s="42" t="str">
        <f aca="true">IF(D252="","",IF(AND(OR(I252="Won",I252="Lost"),J252=""),"Add the decision date",IF(I252="Won","Won – book the work in",IF(NOT(OR(I252="",I252="Sent")),"Closed – note why in Notes",IF(G252="",IF(F252&gt;=Lists!$N$6,"Chase now (1st chase)","Wait – 1st chase on "&amp;TEXT(D252+Lists!$N$6,"dd/mm/yyyy")),IF(H252="",IF(TODAY()-G252&gt;=Lists!$N$6,"Chase again (2nd chase)","Wait – 2nd chase on "&amp;TEXT(G252+Lists!$N$6,"dd/mm/yyyy")),"Call them, then mark Won, Lost or Expired"))))))</f>
        <v/>
      </c>
      <c r="M252" s="38"/>
      <c r="N252" s="42" t="n">
        <f aca="false">IF(I252="Won",IF(K252&lt;&gt;"",K252,N(E252)),0)</f>
        <v>0</v>
      </c>
      <c r="O252" s="42" t="str">
        <f aca="false">IF(ISNUMBER(F252),IF(F252&gt;Lists!$N$6,D252+ROW()/100000,""),"")</f>
        <v/>
      </c>
    </row>
    <row r="253" customFormat="false" ht="27.75" hidden="false" customHeight="true" outlineLevel="0" collapsed="false">
      <c r="A253" s="38"/>
      <c r="B253" s="38"/>
      <c r="C253" s="41"/>
      <c r="D253" s="39"/>
      <c r="E253" s="44"/>
      <c r="F253" s="47" t="str">
        <f aca="true">IF(D253="","",IF(OR(I253="",I253="Sent"),TODAY()-D253,""))</f>
        <v/>
      </c>
      <c r="G253" s="39"/>
      <c r="H253" s="39"/>
      <c r="I253" s="41"/>
      <c r="J253" s="39"/>
      <c r="K253" s="44"/>
      <c r="L253" s="42" t="str">
        <f aca="true">IF(D253="","",IF(AND(OR(I253="Won",I253="Lost"),J253=""),"Add the decision date",IF(I253="Won","Won – book the work in",IF(NOT(OR(I253="",I253="Sent")),"Closed – note why in Notes",IF(G253="",IF(F253&gt;=Lists!$N$6,"Chase now (1st chase)","Wait – 1st chase on "&amp;TEXT(D253+Lists!$N$6,"dd/mm/yyyy")),IF(H253="",IF(TODAY()-G253&gt;=Lists!$N$6,"Chase again (2nd chase)","Wait – 2nd chase on "&amp;TEXT(G253+Lists!$N$6,"dd/mm/yyyy")),"Call them, then mark Won, Lost or Expired"))))))</f>
        <v/>
      </c>
      <c r="M253" s="38"/>
      <c r="N253" s="42" t="n">
        <f aca="false">IF(I253="Won",IF(K253&lt;&gt;"",K253,N(E253)),0)</f>
        <v>0</v>
      </c>
      <c r="O253" s="42" t="str">
        <f aca="false">IF(ISNUMBER(F253),IF(F253&gt;Lists!$N$6,D253+ROW()/100000,""),"")</f>
        <v/>
      </c>
    </row>
    <row r="254" customFormat="false" ht="27.75" hidden="false" customHeight="true" outlineLevel="0" collapsed="false">
      <c r="A254" s="38"/>
      <c r="B254" s="38"/>
      <c r="C254" s="41"/>
      <c r="D254" s="39"/>
      <c r="E254" s="44"/>
      <c r="F254" s="47" t="str">
        <f aca="true">IF(D254="","",IF(OR(I254="",I254="Sent"),TODAY()-D254,""))</f>
        <v/>
      </c>
      <c r="G254" s="39"/>
      <c r="H254" s="39"/>
      <c r="I254" s="41"/>
      <c r="J254" s="39"/>
      <c r="K254" s="44"/>
      <c r="L254" s="42" t="str">
        <f aca="true">IF(D254="","",IF(AND(OR(I254="Won",I254="Lost"),J254=""),"Add the decision date",IF(I254="Won","Won – book the work in",IF(NOT(OR(I254="",I254="Sent")),"Closed – note why in Notes",IF(G254="",IF(F254&gt;=Lists!$N$6,"Chase now (1st chase)","Wait – 1st chase on "&amp;TEXT(D254+Lists!$N$6,"dd/mm/yyyy")),IF(H254="",IF(TODAY()-G254&gt;=Lists!$N$6,"Chase again (2nd chase)","Wait – 2nd chase on "&amp;TEXT(G254+Lists!$N$6,"dd/mm/yyyy")),"Call them, then mark Won, Lost or Expired"))))))</f>
        <v/>
      </c>
      <c r="M254" s="38"/>
      <c r="N254" s="42" t="n">
        <f aca="false">IF(I254="Won",IF(K254&lt;&gt;"",K254,N(E254)),0)</f>
        <v>0</v>
      </c>
      <c r="O254" s="42" t="str">
        <f aca="false">IF(ISNUMBER(F254),IF(F254&gt;Lists!$N$6,D254+ROW()/100000,""),"")</f>
        <v/>
      </c>
    </row>
    <row r="255" customFormat="false" ht="27.75" hidden="false" customHeight="true" outlineLevel="0" collapsed="false">
      <c r="A255" s="38"/>
      <c r="B255" s="38"/>
      <c r="C255" s="41"/>
      <c r="D255" s="39"/>
      <c r="E255" s="44"/>
      <c r="F255" s="47" t="str">
        <f aca="true">IF(D255="","",IF(OR(I255="",I255="Sent"),TODAY()-D255,""))</f>
        <v/>
      </c>
      <c r="G255" s="39"/>
      <c r="H255" s="39"/>
      <c r="I255" s="41"/>
      <c r="J255" s="39"/>
      <c r="K255" s="44"/>
      <c r="L255" s="42" t="str">
        <f aca="true">IF(D255="","",IF(AND(OR(I255="Won",I255="Lost"),J255=""),"Add the decision date",IF(I255="Won","Won – book the work in",IF(NOT(OR(I255="",I255="Sent")),"Closed – note why in Notes",IF(G255="",IF(F255&gt;=Lists!$N$6,"Chase now (1st chase)","Wait – 1st chase on "&amp;TEXT(D255+Lists!$N$6,"dd/mm/yyyy")),IF(H255="",IF(TODAY()-G255&gt;=Lists!$N$6,"Chase again (2nd chase)","Wait – 2nd chase on "&amp;TEXT(G255+Lists!$N$6,"dd/mm/yyyy")),"Call them, then mark Won, Lost or Expired"))))))</f>
        <v/>
      </c>
      <c r="M255" s="38"/>
      <c r="N255" s="42" t="n">
        <f aca="false">IF(I255="Won",IF(K255&lt;&gt;"",K255,N(E255)),0)</f>
        <v>0</v>
      </c>
      <c r="O255" s="42" t="str">
        <f aca="false">IF(ISNUMBER(F255),IF(F255&gt;Lists!$N$6,D255+ROW()/100000,""),"")</f>
        <v/>
      </c>
    </row>
    <row r="256" customFormat="false" ht="27.75" hidden="false" customHeight="true" outlineLevel="0" collapsed="false">
      <c r="A256" s="38"/>
      <c r="B256" s="38"/>
      <c r="C256" s="41"/>
      <c r="D256" s="39"/>
      <c r="E256" s="44"/>
      <c r="F256" s="47" t="str">
        <f aca="true">IF(D256="","",IF(OR(I256="",I256="Sent"),TODAY()-D256,""))</f>
        <v/>
      </c>
      <c r="G256" s="39"/>
      <c r="H256" s="39"/>
      <c r="I256" s="41"/>
      <c r="J256" s="39"/>
      <c r="K256" s="44"/>
      <c r="L256" s="42" t="str">
        <f aca="true">IF(D256="","",IF(AND(OR(I256="Won",I256="Lost"),J256=""),"Add the decision date",IF(I256="Won","Won – book the work in",IF(NOT(OR(I256="",I256="Sent")),"Closed – note why in Notes",IF(G256="",IF(F256&gt;=Lists!$N$6,"Chase now (1st chase)","Wait – 1st chase on "&amp;TEXT(D256+Lists!$N$6,"dd/mm/yyyy")),IF(H256="",IF(TODAY()-G256&gt;=Lists!$N$6,"Chase again (2nd chase)","Wait – 2nd chase on "&amp;TEXT(G256+Lists!$N$6,"dd/mm/yyyy")),"Call them, then mark Won, Lost or Expired"))))))</f>
        <v/>
      </c>
      <c r="M256" s="38"/>
      <c r="N256" s="42" t="n">
        <f aca="false">IF(I256="Won",IF(K256&lt;&gt;"",K256,N(E256)),0)</f>
        <v>0</v>
      </c>
      <c r="O256" s="42" t="str">
        <f aca="false">IF(ISNUMBER(F256),IF(F256&gt;Lists!$N$6,D256+ROW()/100000,""),"")</f>
        <v/>
      </c>
    </row>
    <row r="257" customFormat="false" ht="27.75" hidden="false" customHeight="true" outlineLevel="0" collapsed="false">
      <c r="A257" s="38"/>
      <c r="B257" s="38"/>
      <c r="C257" s="41"/>
      <c r="D257" s="39"/>
      <c r="E257" s="44"/>
      <c r="F257" s="47" t="str">
        <f aca="true">IF(D257="","",IF(OR(I257="",I257="Sent"),TODAY()-D257,""))</f>
        <v/>
      </c>
      <c r="G257" s="39"/>
      <c r="H257" s="39"/>
      <c r="I257" s="41"/>
      <c r="J257" s="39"/>
      <c r="K257" s="44"/>
      <c r="L257" s="42" t="str">
        <f aca="true">IF(D257="","",IF(AND(OR(I257="Won",I257="Lost"),J257=""),"Add the decision date",IF(I257="Won","Won – book the work in",IF(NOT(OR(I257="",I257="Sent")),"Closed – note why in Notes",IF(G257="",IF(F257&gt;=Lists!$N$6,"Chase now (1st chase)","Wait – 1st chase on "&amp;TEXT(D257+Lists!$N$6,"dd/mm/yyyy")),IF(H257="",IF(TODAY()-G257&gt;=Lists!$N$6,"Chase again (2nd chase)","Wait – 2nd chase on "&amp;TEXT(G257+Lists!$N$6,"dd/mm/yyyy")),"Call them, then mark Won, Lost or Expired"))))))</f>
        <v/>
      </c>
      <c r="M257" s="38"/>
      <c r="N257" s="42" t="n">
        <f aca="false">IF(I257="Won",IF(K257&lt;&gt;"",K257,N(E257)),0)</f>
        <v>0</v>
      </c>
      <c r="O257" s="42" t="str">
        <f aca="false">IF(ISNUMBER(F257),IF(F257&gt;Lists!$N$6,D257+ROW()/100000,""),"")</f>
        <v/>
      </c>
    </row>
    <row r="258" customFormat="false" ht="27.75" hidden="false" customHeight="true" outlineLevel="0" collapsed="false">
      <c r="A258" s="38"/>
      <c r="B258" s="38"/>
      <c r="C258" s="41"/>
      <c r="D258" s="39"/>
      <c r="E258" s="44"/>
      <c r="F258" s="47" t="str">
        <f aca="true">IF(D258="","",IF(OR(I258="",I258="Sent"),TODAY()-D258,""))</f>
        <v/>
      </c>
      <c r="G258" s="39"/>
      <c r="H258" s="39"/>
      <c r="I258" s="41"/>
      <c r="J258" s="39"/>
      <c r="K258" s="44"/>
      <c r="L258" s="42" t="str">
        <f aca="true">IF(D258="","",IF(AND(OR(I258="Won",I258="Lost"),J258=""),"Add the decision date",IF(I258="Won","Won – book the work in",IF(NOT(OR(I258="",I258="Sent")),"Closed – note why in Notes",IF(G258="",IF(F258&gt;=Lists!$N$6,"Chase now (1st chase)","Wait – 1st chase on "&amp;TEXT(D258+Lists!$N$6,"dd/mm/yyyy")),IF(H258="",IF(TODAY()-G258&gt;=Lists!$N$6,"Chase again (2nd chase)","Wait – 2nd chase on "&amp;TEXT(G258+Lists!$N$6,"dd/mm/yyyy")),"Call them, then mark Won, Lost or Expired"))))))</f>
        <v/>
      </c>
      <c r="M258" s="38"/>
      <c r="N258" s="42" t="n">
        <f aca="false">IF(I258="Won",IF(K258&lt;&gt;"",K258,N(E258)),0)</f>
        <v>0</v>
      </c>
      <c r="O258" s="42" t="str">
        <f aca="false">IF(ISNUMBER(F258),IF(F258&gt;Lists!$N$6,D258+ROW()/100000,""),"")</f>
        <v/>
      </c>
    </row>
    <row r="259" customFormat="false" ht="27.75" hidden="false" customHeight="true" outlineLevel="0" collapsed="false">
      <c r="A259" s="38"/>
      <c r="B259" s="38"/>
      <c r="C259" s="41"/>
      <c r="D259" s="39"/>
      <c r="E259" s="44"/>
      <c r="F259" s="47" t="str">
        <f aca="true">IF(D259="","",IF(OR(I259="",I259="Sent"),TODAY()-D259,""))</f>
        <v/>
      </c>
      <c r="G259" s="39"/>
      <c r="H259" s="39"/>
      <c r="I259" s="41"/>
      <c r="J259" s="39"/>
      <c r="K259" s="44"/>
      <c r="L259" s="42" t="str">
        <f aca="true">IF(D259="","",IF(AND(OR(I259="Won",I259="Lost"),J259=""),"Add the decision date",IF(I259="Won","Won – book the work in",IF(NOT(OR(I259="",I259="Sent")),"Closed – note why in Notes",IF(G259="",IF(F259&gt;=Lists!$N$6,"Chase now (1st chase)","Wait – 1st chase on "&amp;TEXT(D259+Lists!$N$6,"dd/mm/yyyy")),IF(H259="",IF(TODAY()-G259&gt;=Lists!$N$6,"Chase again (2nd chase)","Wait – 2nd chase on "&amp;TEXT(G259+Lists!$N$6,"dd/mm/yyyy")),"Call them, then mark Won, Lost or Expired"))))))</f>
        <v/>
      </c>
      <c r="M259" s="38"/>
      <c r="N259" s="42" t="n">
        <f aca="false">IF(I259="Won",IF(K259&lt;&gt;"",K259,N(E259)),0)</f>
        <v>0</v>
      </c>
      <c r="O259" s="42" t="str">
        <f aca="false">IF(ISNUMBER(F259),IF(F259&gt;Lists!$N$6,D259+ROW()/100000,""),"")</f>
        <v/>
      </c>
    </row>
    <row r="260" customFormat="false" ht="27.75" hidden="false" customHeight="true" outlineLevel="0" collapsed="false">
      <c r="A260" s="38"/>
      <c r="B260" s="38"/>
      <c r="C260" s="41"/>
      <c r="D260" s="39"/>
      <c r="E260" s="44"/>
      <c r="F260" s="47" t="str">
        <f aca="true">IF(D260="","",IF(OR(I260="",I260="Sent"),TODAY()-D260,""))</f>
        <v/>
      </c>
      <c r="G260" s="39"/>
      <c r="H260" s="39"/>
      <c r="I260" s="41"/>
      <c r="J260" s="39"/>
      <c r="K260" s="44"/>
      <c r="L260" s="42" t="str">
        <f aca="true">IF(D260="","",IF(AND(OR(I260="Won",I260="Lost"),J260=""),"Add the decision date",IF(I260="Won","Won – book the work in",IF(NOT(OR(I260="",I260="Sent")),"Closed – note why in Notes",IF(G260="",IF(F260&gt;=Lists!$N$6,"Chase now (1st chase)","Wait – 1st chase on "&amp;TEXT(D260+Lists!$N$6,"dd/mm/yyyy")),IF(H260="",IF(TODAY()-G260&gt;=Lists!$N$6,"Chase again (2nd chase)","Wait – 2nd chase on "&amp;TEXT(G260+Lists!$N$6,"dd/mm/yyyy")),"Call them, then mark Won, Lost or Expired"))))))</f>
        <v/>
      </c>
      <c r="M260" s="38"/>
      <c r="N260" s="42" t="n">
        <f aca="false">IF(I260="Won",IF(K260&lt;&gt;"",K260,N(E260)),0)</f>
        <v>0</v>
      </c>
      <c r="O260" s="42" t="str">
        <f aca="false">IF(ISNUMBER(F260),IF(F260&gt;Lists!$N$6,D260+ROW()/100000,""),"")</f>
        <v/>
      </c>
    </row>
    <row r="261" customFormat="false" ht="27.75" hidden="false" customHeight="true" outlineLevel="0" collapsed="false">
      <c r="A261" s="38"/>
      <c r="B261" s="38"/>
      <c r="C261" s="41"/>
      <c r="D261" s="39"/>
      <c r="E261" s="44"/>
      <c r="F261" s="47" t="str">
        <f aca="true">IF(D261="","",IF(OR(I261="",I261="Sent"),TODAY()-D261,""))</f>
        <v/>
      </c>
      <c r="G261" s="39"/>
      <c r="H261" s="39"/>
      <c r="I261" s="41"/>
      <c r="J261" s="39"/>
      <c r="K261" s="44"/>
      <c r="L261" s="42" t="str">
        <f aca="true">IF(D261="","",IF(AND(OR(I261="Won",I261="Lost"),J261=""),"Add the decision date",IF(I261="Won","Won – book the work in",IF(NOT(OR(I261="",I261="Sent")),"Closed – note why in Notes",IF(G261="",IF(F261&gt;=Lists!$N$6,"Chase now (1st chase)","Wait – 1st chase on "&amp;TEXT(D261+Lists!$N$6,"dd/mm/yyyy")),IF(H261="",IF(TODAY()-G261&gt;=Lists!$N$6,"Chase again (2nd chase)","Wait – 2nd chase on "&amp;TEXT(G261+Lists!$N$6,"dd/mm/yyyy")),"Call them, then mark Won, Lost or Expired"))))))</f>
        <v/>
      </c>
      <c r="M261" s="38"/>
      <c r="N261" s="42" t="n">
        <f aca="false">IF(I261="Won",IF(K261&lt;&gt;"",K261,N(E261)),0)</f>
        <v>0</v>
      </c>
      <c r="O261" s="42" t="str">
        <f aca="false">IF(ISNUMBER(F261),IF(F261&gt;Lists!$N$6,D261+ROW()/100000,""),"")</f>
        <v/>
      </c>
    </row>
    <row r="262" customFormat="false" ht="27.75" hidden="false" customHeight="true" outlineLevel="0" collapsed="false">
      <c r="A262" s="38"/>
      <c r="B262" s="38"/>
      <c r="C262" s="41"/>
      <c r="D262" s="39"/>
      <c r="E262" s="44"/>
      <c r="F262" s="47" t="str">
        <f aca="true">IF(D262="","",IF(OR(I262="",I262="Sent"),TODAY()-D262,""))</f>
        <v/>
      </c>
      <c r="G262" s="39"/>
      <c r="H262" s="39"/>
      <c r="I262" s="41"/>
      <c r="J262" s="39"/>
      <c r="K262" s="44"/>
      <c r="L262" s="42" t="str">
        <f aca="true">IF(D262="","",IF(AND(OR(I262="Won",I262="Lost"),J262=""),"Add the decision date",IF(I262="Won","Won – book the work in",IF(NOT(OR(I262="",I262="Sent")),"Closed – note why in Notes",IF(G262="",IF(F262&gt;=Lists!$N$6,"Chase now (1st chase)","Wait – 1st chase on "&amp;TEXT(D262+Lists!$N$6,"dd/mm/yyyy")),IF(H262="",IF(TODAY()-G262&gt;=Lists!$N$6,"Chase again (2nd chase)","Wait – 2nd chase on "&amp;TEXT(G262+Lists!$N$6,"dd/mm/yyyy")),"Call them, then mark Won, Lost or Expired"))))))</f>
        <v/>
      </c>
      <c r="M262" s="38"/>
      <c r="N262" s="42" t="n">
        <f aca="false">IF(I262="Won",IF(K262&lt;&gt;"",K262,N(E262)),0)</f>
        <v>0</v>
      </c>
      <c r="O262" s="42" t="str">
        <f aca="false">IF(ISNUMBER(F262),IF(F262&gt;Lists!$N$6,D262+ROW()/100000,""),"")</f>
        <v/>
      </c>
    </row>
    <row r="263" customFormat="false" ht="27.75" hidden="false" customHeight="true" outlineLevel="0" collapsed="false">
      <c r="A263" s="38"/>
      <c r="B263" s="38"/>
      <c r="C263" s="41"/>
      <c r="D263" s="39"/>
      <c r="E263" s="44"/>
      <c r="F263" s="47" t="str">
        <f aca="true">IF(D263="","",IF(OR(I263="",I263="Sent"),TODAY()-D263,""))</f>
        <v/>
      </c>
      <c r="G263" s="39"/>
      <c r="H263" s="39"/>
      <c r="I263" s="41"/>
      <c r="J263" s="39"/>
      <c r="K263" s="44"/>
      <c r="L263" s="42" t="str">
        <f aca="true">IF(D263="","",IF(AND(OR(I263="Won",I263="Lost"),J263=""),"Add the decision date",IF(I263="Won","Won – book the work in",IF(NOT(OR(I263="",I263="Sent")),"Closed – note why in Notes",IF(G263="",IF(F263&gt;=Lists!$N$6,"Chase now (1st chase)","Wait – 1st chase on "&amp;TEXT(D263+Lists!$N$6,"dd/mm/yyyy")),IF(H263="",IF(TODAY()-G263&gt;=Lists!$N$6,"Chase again (2nd chase)","Wait – 2nd chase on "&amp;TEXT(G263+Lists!$N$6,"dd/mm/yyyy")),"Call them, then mark Won, Lost or Expired"))))))</f>
        <v/>
      </c>
      <c r="M263" s="38"/>
      <c r="N263" s="42" t="n">
        <f aca="false">IF(I263="Won",IF(K263&lt;&gt;"",K263,N(E263)),0)</f>
        <v>0</v>
      </c>
      <c r="O263" s="42" t="str">
        <f aca="false">IF(ISNUMBER(F263),IF(F263&gt;Lists!$N$6,D263+ROW()/100000,""),"")</f>
        <v/>
      </c>
    </row>
    <row r="264" customFormat="false" ht="27.75" hidden="false" customHeight="true" outlineLevel="0" collapsed="false">
      <c r="A264" s="38"/>
      <c r="B264" s="38"/>
      <c r="C264" s="41"/>
      <c r="D264" s="39"/>
      <c r="E264" s="44"/>
      <c r="F264" s="47" t="str">
        <f aca="true">IF(D264="","",IF(OR(I264="",I264="Sent"),TODAY()-D264,""))</f>
        <v/>
      </c>
      <c r="G264" s="39"/>
      <c r="H264" s="39"/>
      <c r="I264" s="41"/>
      <c r="J264" s="39"/>
      <c r="K264" s="44"/>
      <c r="L264" s="42" t="str">
        <f aca="true">IF(D264="","",IF(AND(OR(I264="Won",I264="Lost"),J264=""),"Add the decision date",IF(I264="Won","Won – book the work in",IF(NOT(OR(I264="",I264="Sent")),"Closed – note why in Notes",IF(G264="",IF(F264&gt;=Lists!$N$6,"Chase now (1st chase)","Wait – 1st chase on "&amp;TEXT(D264+Lists!$N$6,"dd/mm/yyyy")),IF(H264="",IF(TODAY()-G264&gt;=Lists!$N$6,"Chase again (2nd chase)","Wait – 2nd chase on "&amp;TEXT(G264+Lists!$N$6,"dd/mm/yyyy")),"Call them, then mark Won, Lost or Expired"))))))</f>
        <v/>
      </c>
      <c r="M264" s="38"/>
      <c r="N264" s="42" t="n">
        <f aca="false">IF(I264="Won",IF(K264&lt;&gt;"",K264,N(E264)),0)</f>
        <v>0</v>
      </c>
      <c r="O264" s="42" t="str">
        <f aca="false">IF(ISNUMBER(F264),IF(F264&gt;Lists!$N$6,D264+ROW()/100000,""),"")</f>
        <v/>
      </c>
    </row>
    <row r="265" customFormat="false" ht="27.75" hidden="false" customHeight="true" outlineLevel="0" collapsed="false">
      <c r="A265" s="38"/>
      <c r="B265" s="38"/>
      <c r="C265" s="41"/>
      <c r="D265" s="39"/>
      <c r="E265" s="44"/>
      <c r="F265" s="47" t="str">
        <f aca="true">IF(D265="","",IF(OR(I265="",I265="Sent"),TODAY()-D265,""))</f>
        <v/>
      </c>
      <c r="G265" s="39"/>
      <c r="H265" s="39"/>
      <c r="I265" s="41"/>
      <c r="J265" s="39"/>
      <c r="K265" s="44"/>
      <c r="L265" s="42" t="str">
        <f aca="true">IF(D265="","",IF(AND(OR(I265="Won",I265="Lost"),J265=""),"Add the decision date",IF(I265="Won","Won – book the work in",IF(NOT(OR(I265="",I265="Sent")),"Closed – note why in Notes",IF(G265="",IF(F265&gt;=Lists!$N$6,"Chase now (1st chase)","Wait – 1st chase on "&amp;TEXT(D265+Lists!$N$6,"dd/mm/yyyy")),IF(H265="",IF(TODAY()-G265&gt;=Lists!$N$6,"Chase again (2nd chase)","Wait – 2nd chase on "&amp;TEXT(G265+Lists!$N$6,"dd/mm/yyyy")),"Call them, then mark Won, Lost or Expired"))))))</f>
        <v/>
      </c>
      <c r="M265" s="38"/>
      <c r="N265" s="42" t="n">
        <f aca="false">IF(I265="Won",IF(K265&lt;&gt;"",K265,N(E265)),0)</f>
        <v>0</v>
      </c>
      <c r="O265" s="42" t="str">
        <f aca="false">IF(ISNUMBER(F265),IF(F265&gt;Lists!$N$6,D265+ROW()/100000,""),"")</f>
        <v/>
      </c>
    </row>
    <row r="266" customFormat="false" ht="27.75" hidden="false" customHeight="true" outlineLevel="0" collapsed="false">
      <c r="A266" s="38"/>
      <c r="B266" s="38"/>
      <c r="C266" s="41"/>
      <c r="D266" s="39"/>
      <c r="E266" s="44"/>
      <c r="F266" s="47" t="str">
        <f aca="true">IF(D266="","",IF(OR(I266="",I266="Sent"),TODAY()-D266,""))</f>
        <v/>
      </c>
      <c r="G266" s="39"/>
      <c r="H266" s="39"/>
      <c r="I266" s="41"/>
      <c r="J266" s="39"/>
      <c r="K266" s="44"/>
      <c r="L266" s="42" t="str">
        <f aca="true">IF(D266="","",IF(AND(OR(I266="Won",I266="Lost"),J266=""),"Add the decision date",IF(I266="Won","Won – book the work in",IF(NOT(OR(I266="",I266="Sent")),"Closed – note why in Notes",IF(G266="",IF(F266&gt;=Lists!$N$6,"Chase now (1st chase)","Wait – 1st chase on "&amp;TEXT(D266+Lists!$N$6,"dd/mm/yyyy")),IF(H266="",IF(TODAY()-G266&gt;=Lists!$N$6,"Chase again (2nd chase)","Wait – 2nd chase on "&amp;TEXT(G266+Lists!$N$6,"dd/mm/yyyy")),"Call them, then mark Won, Lost or Expired"))))))</f>
        <v/>
      </c>
      <c r="M266" s="38"/>
      <c r="N266" s="42" t="n">
        <f aca="false">IF(I266="Won",IF(K266&lt;&gt;"",K266,N(E266)),0)</f>
        <v>0</v>
      </c>
      <c r="O266" s="42" t="str">
        <f aca="false">IF(ISNUMBER(F266),IF(F266&gt;Lists!$N$6,D266+ROW()/100000,""),"")</f>
        <v/>
      </c>
    </row>
    <row r="267" customFormat="false" ht="27.75" hidden="false" customHeight="true" outlineLevel="0" collapsed="false">
      <c r="A267" s="38"/>
      <c r="B267" s="38"/>
      <c r="C267" s="41"/>
      <c r="D267" s="39"/>
      <c r="E267" s="44"/>
      <c r="F267" s="47" t="str">
        <f aca="true">IF(D267="","",IF(OR(I267="",I267="Sent"),TODAY()-D267,""))</f>
        <v/>
      </c>
      <c r="G267" s="39"/>
      <c r="H267" s="39"/>
      <c r="I267" s="41"/>
      <c r="J267" s="39"/>
      <c r="K267" s="44"/>
      <c r="L267" s="42" t="str">
        <f aca="true">IF(D267="","",IF(AND(OR(I267="Won",I267="Lost"),J267=""),"Add the decision date",IF(I267="Won","Won – book the work in",IF(NOT(OR(I267="",I267="Sent")),"Closed – note why in Notes",IF(G267="",IF(F267&gt;=Lists!$N$6,"Chase now (1st chase)","Wait – 1st chase on "&amp;TEXT(D267+Lists!$N$6,"dd/mm/yyyy")),IF(H267="",IF(TODAY()-G267&gt;=Lists!$N$6,"Chase again (2nd chase)","Wait – 2nd chase on "&amp;TEXT(G267+Lists!$N$6,"dd/mm/yyyy")),"Call them, then mark Won, Lost or Expired"))))))</f>
        <v/>
      </c>
      <c r="M267" s="38"/>
      <c r="N267" s="42" t="n">
        <f aca="false">IF(I267="Won",IF(K267&lt;&gt;"",K267,N(E267)),0)</f>
        <v>0</v>
      </c>
      <c r="O267" s="42" t="str">
        <f aca="false">IF(ISNUMBER(F267),IF(F267&gt;Lists!$N$6,D267+ROW()/100000,""),"")</f>
        <v/>
      </c>
    </row>
    <row r="268" customFormat="false" ht="27.75" hidden="false" customHeight="true" outlineLevel="0" collapsed="false">
      <c r="A268" s="38"/>
      <c r="B268" s="38"/>
      <c r="C268" s="41"/>
      <c r="D268" s="39"/>
      <c r="E268" s="44"/>
      <c r="F268" s="47" t="str">
        <f aca="true">IF(D268="","",IF(OR(I268="",I268="Sent"),TODAY()-D268,""))</f>
        <v/>
      </c>
      <c r="G268" s="39"/>
      <c r="H268" s="39"/>
      <c r="I268" s="41"/>
      <c r="J268" s="39"/>
      <c r="K268" s="44"/>
      <c r="L268" s="42" t="str">
        <f aca="true">IF(D268="","",IF(AND(OR(I268="Won",I268="Lost"),J268=""),"Add the decision date",IF(I268="Won","Won – book the work in",IF(NOT(OR(I268="",I268="Sent")),"Closed – note why in Notes",IF(G268="",IF(F268&gt;=Lists!$N$6,"Chase now (1st chase)","Wait – 1st chase on "&amp;TEXT(D268+Lists!$N$6,"dd/mm/yyyy")),IF(H268="",IF(TODAY()-G268&gt;=Lists!$N$6,"Chase again (2nd chase)","Wait – 2nd chase on "&amp;TEXT(G268+Lists!$N$6,"dd/mm/yyyy")),"Call them, then mark Won, Lost or Expired"))))))</f>
        <v/>
      </c>
      <c r="M268" s="38"/>
      <c r="N268" s="42" t="n">
        <f aca="false">IF(I268="Won",IF(K268&lt;&gt;"",K268,N(E268)),0)</f>
        <v>0</v>
      </c>
      <c r="O268" s="42" t="str">
        <f aca="false">IF(ISNUMBER(F268),IF(F268&gt;Lists!$N$6,D268+ROW()/100000,""),"")</f>
        <v/>
      </c>
    </row>
    <row r="269" customFormat="false" ht="27.75" hidden="false" customHeight="true" outlineLevel="0" collapsed="false">
      <c r="A269" s="38"/>
      <c r="B269" s="38"/>
      <c r="C269" s="41"/>
      <c r="D269" s="39"/>
      <c r="E269" s="44"/>
      <c r="F269" s="47" t="str">
        <f aca="true">IF(D269="","",IF(OR(I269="",I269="Sent"),TODAY()-D269,""))</f>
        <v/>
      </c>
      <c r="G269" s="39"/>
      <c r="H269" s="39"/>
      <c r="I269" s="41"/>
      <c r="J269" s="39"/>
      <c r="K269" s="44"/>
      <c r="L269" s="42" t="str">
        <f aca="true">IF(D269="","",IF(AND(OR(I269="Won",I269="Lost"),J269=""),"Add the decision date",IF(I269="Won","Won – book the work in",IF(NOT(OR(I269="",I269="Sent")),"Closed – note why in Notes",IF(G269="",IF(F269&gt;=Lists!$N$6,"Chase now (1st chase)","Wait – 1st chase on "&amp;TEXT(D269+Lists!$N$6,"dd/mm/yyyy")),IF(H269="",IF(TODAY()-G269&gt;=Lists!$N$6,"Chase again (2nd chase)","Wait – 2nd chase on "&amp;TEXT(G269+Lists!$N$6,"dd/mm/yyyy")),"Call them, then mark Won, Lost or Expired"))))))</f>
        <v/>
      </c>
      <c r="M269" s="38"/>
      <c r="N269" s="42" t="n">
        <f aca="false">IF(I269="Won",IF(K269&lt;&gt;"",K269,N(E269)),0)</f>
        <v>0</v>
      </c>
      <c r="O269" s="42" t="str">
        <f aca="false">IF(ISNUMBER(F269),IF(F269&gt;Lists!$N$6,D269+ROW()/100000,""),"")</f>
        <v/>
      </c>
    </row>
    <row r="270" customFormat="false" ht="27.75" hidden="false" customHeight="true" outlineLevel="0" collapsed="false">
      <c r="A270" s="38"/>
      <c r="B270" s="38"/>
      <c r="C270" s="41"/>
      <c r="D270" s="39"/>
      <c r="E270" s="44"/>
      <c r="F270" s="47" t="str">
        <f aca="true">IF(D270="","",IF(OR(I270="",I270="Sent"),TODAY()-D270,""))</f>
        <v/>
      </c>
      <c r="G270" s="39"/>
      <c r="H270" s="39"/>
      <c r="I270" s="41"/>
      <c r="J270" s="39"/>
      <c r="K270" s="44"/>
      <c r="L270" s="42" t="str">
        <f aca="true">IF(D270="","",IF(AND(OR(I270="Won",I270="Lost"),J270=""),"Add the decision date",IF(I270="Won","Won – book the work in",IF(NOT(OR(I270="",I270="Sent")),"Closed – note why in Notes",IF(G270="",IF(F270&gt;=Lists!$N$6,"Chase now (1st chase)","Wait – 1st chase on "&amp;TEXT(D270+Lists!$N$6,"dd/mm/yyyy")),IF(H270="",IF(TODAY()-G270&gt;=Lists!$N$6,"Chase again (2nd chase)","Wait – 2nd chase on "&amp;TEXT(G270+Lists!$N$6,"dd/mm/yyyy")),"Call them, then mark Won, Lost or Expired"))))))</f>
        <v/>
      </c>
      <c r="M270" s="38"/>
      <c r="N270" s="42" t="n">
        <f aca="false">IF(I270="Won",IF(K270&lt;&gt;"",K270,N(E270)),0)</f>
        <v>0</v>
      </c>
      <c r="O270" s="42" t="str">
        <f aca="false">IF(ISNUMBER(F270),IF(F270&gt;Lists!$N$6,D270+ROW()/100000,""),"")</f>
        <v/>
      </c>
    </row>
    <row r="271" customFormat="false" ht="27.75" hidden="false" customHeight="true" outlineLevel="0" collapsed="false">
      <c r="A271" s="38"/>
      <c r="B271" s="38"/>
      <c r="C271" s="41"/>
      <c r="D271" s="39"/>
      <c r="E271" s="44"/>
      <c r="F271" s="47" t="str">
        <f aca="true">IF(D271="","",IF(OR(I271="",I271="Sent"),TODAY()-D271,""))</f>
        <v/>
      </c>
      <c r="G271" s="39"/>
      <c r="H271" s="39"/>
      <c r="I271" s="41"/>
      <c r="J271" s="39"/>
      <c r="K271" s="44"/>
      <c r="L271" s="42" t="str">
        <f aca="true">IF(D271="","",IF(AND(OR(I271="Won",I271="Lost"),J271=""),"Add the decision date",IF(I271="Won","Won – book the work in",IF(NOT(OR(I271="",I271="Sent")),"Closed – note why in Notes",IF(G271="",IF(F271&gt;=Lists!$N$6,"Chase now (1st chase)","Wait – 1st chase on "&amp;TEXT(D271+Lists!$N$6,"dd/mm/yyyy")),IF(H271="",IF(TODAY()-G271&gt;=Lists!$N$6,"Chase again (2nd chase)","Wait – 2nd chase on "&amp;TEXT(G271+Lists!$N$6,"dd/mm/yyyy")),"Call them, then mark Won, Lost or Expired"))))))</f>
        <v/>
      </c>
      <c r="M271" s="38"/>
      <c r="N271" s="42" t="n">
        <f aca="false">IF(I271="Won",IF(K271&lt;&gt;"",K271,N(E271)),0)</f>
        <v>0</v>
      </c>
      <c r="O271" s="42" t="str">
        <f aca="false">IF(ISNUMBER(F271),IF(F271&gt;Lists!$N$6,D271+ROW()/100000,""),"")</f>
        <v/>
      </c>
    </row>
    <row r="272" customFormat="false" ht="27.75" hidden="false" customHeight="true" outlineLevel="0" collapsed="false">
      <c r="A272" s="38"/>
      <c r="B272" s="38"/>
      <c r="C272" s="41"/>
      <c r="D272" s="39"/>
      <c r="E272" s="44"/>
      <c r="F272" s="47" t="str">
        <f aca="true">IF(D272="","",IF(OR(I272="",I272="Sent"),TODAY()-D272,""))</f>
        <v/>
      </c>
      <c r="G272" s="39"/>
      <c r="H272" s="39"/>
      <c r="I272" s="41"/>
      <c r="J272" s="39"/>
      <c r="K272" s="44"/>
      <c r="L272" s="42" t="str">
        <f aca="true">IF(D272="","",IF(AND(OR(I272="Won",I272="Lost"),J272=""),"Add the decision date",IF(I272="Won","Won – book the work in",IF(NOT(OR(I272="",I272="Sent")),"Closed – note why in Notes",IF(G272="",IF(F272&gt;=Lists!$N$6,"Chase now (1st chase)","Wait – 1st chase on "&amp;TEXT(D272+Lists!$N$6,"dd/mm/yyyy")),IF(H272="",IF(TODAY()-G272&gt;=Lists!$N$6,"Chase again (2nd chase)","Wait – 2nd chase on "&amp;TEXT(G272+Lists!$N$6,"dd/mm/yyyy")),"Call them, then mark Won, Lost or Expired"))))))</f>
        <v/>
      </c>
      <c r="M272" s="38"/>
      <c r="N272" s="42" t="n">
        <f aca="false">IF(I272="Won",IF(K272&lt;&gt;"",K272,N(E272)),0)</f>
        <v>0</v>
      </c>
      <c r="O272" s="42" t="str">
        <f aca="false">IF(ISNUMBER(F272),IF(F272&gt;Lists!$N$6,D272+ROW()/100000,""),"")</f>
        <v/>
      </c>
    </row>
    <row r="273" customFormat="false" ht="27.75" hidden="false" customHeight="true" outlineLevel="0" collapsed="false">
      <c r="A273" s="38"/>
      <c r="B273" s="38"/>
      <c r="C273" s="41"/>
      <c r="D273" s="39"/>
      <c r="E273" s="44"/>
      <c r="F273" s="47" t="str">
        <f aca="true">IF(D273="","",IF(OR(I273="",I273="Sent"),TODAY()-D273,""))</f>
        <v/>
      </c>
      <c r="G273" s="39"/>
      <c r="H273" s="39"/>
      <c r="I273" s="41"/>
      <c r="J273" s="39"/>
      <c r="K273" s="44"/>
      <c r="L273" s="42" t="str">
        <f aca="true">IF(D273="","",IF(AND(OR(I273="Won",I273="Lost"),J273=""),"Add the decision date",IF(I273="Won","Won – book the work in",IF(NOT(OR(I273="",I273="Sent")),"Closed – note why in Notes",IF(G273="",IF(F273&gt;=Lists!$N$6,"Chase now (1st chase)","Wait – 1st chase on "&amp;TEXT(D273+Lists!$N$6,"dd/mm/yyyy")),IF(H273="",IF(TODAY()-G273&gt;=Lists!$N$6,"Chase again (2nd chase)","Wait – 2nd chase on "&amp;TEXT(G273+Lists!$N$6,"dd/mm/yyyy")),"Call them, then mark Won, Lost or Expired"))))))</f>
        <v/>
      </c>
      <c r="M273" s="38"/>
      <c r="N273" s="42" t="n">
        <f aca="false">IF(I273="Won",IF(K273&lt;&gt;"",K273,N(E273)),0)</f>
        <v>0</v>
      </c>
      <c r="O273" s="42" t="str">
        <f aca="false">IF(ISNUMBER(F273),IF(F273&gt;Lists!$N$6,D273+ROW()/100000,""),"")</f>
        <v/>
      </c>
    </row>
    <row r="274" customFormat="false" ht="27.75" hidden="false" customHeight="true" outlineLevel="0" collapsed="false">
      <c r="A274" s="38"/>
      <c r="B274" s="38"/>
      <c r="C274" s="41"/>
      <c r="D274" s="39"/>
      <c r="E274" s="44"/>
      <c r="F274" s="47" t="str">
        <f aca="true">IF(D274="","",IF(OR(I274="",I274="Sent"),TODAY()-D274,""))</f>
        <v/>
      </c>
      <c r="G274" s="39"/>
      <c r="H274" s="39"/>
      <c r="I274" s="41"/>
      <c r="J274" s="39"/>
      <c r="K274" s="44"/>
      <c r="L274" s="42" t="str">
        <f aca="true">IF(D274="","",IF(AND(OR(I274="Won",I274="Lost"),J274=""),"Add the decision date",IF(I274="Won","Won – book the work in",IF(NOT(OR(I274="",I274="Sent")),"Closed – note why in Notes",IF(G274="",IF(F274&gt;=Lists!$N$6,"Chase now (1st chase)","Wait – 1st chase on "&amp;TEXT(D274+Lists!$N$6,"dd/mm/yyyy")),IF(H274="",IF(TODAY()-G274&gt;=Lists!$N$6,"Chase again (2nd chase)","Wait – 2nd chase on "&amp;TEXT(G274+Lists!$N$6,"dd/mm/yyyy")),"Call them, then mark Won, Lost or Expired"))))))</f>
        <v/>
      </c>
      <c r="M274" s="38"/>
      <c r="N274" s="42" t="n">
        <f aca="false">IF(I274="Won",IF(K274&lt;&gt;"",K274,N(E274)),0)</f>
        <v>0</v>
      </c>
      <c r="O274" s="42" t="str">
        <f aca="false">IF(ISNUMBER(F274),IF(F274&gt;Lists!$N$6,D274+ROW()/100000,""),"")</f>
        <v/>
      </c>
    </row>
    <row r="275" customFormat="false" ht="27.75" hidden="false" customHeight="true" outlineLevel="0" collapsed="false">
      <c r="A275" s="38"/>
      <c r="B275" s="38"/>
      <c r="C275" s="41"/>
      <c r="D275" s="39"/>
      <c r="E275" s="44"/>
      <c r="F275" s="47" t="str">
        <f aca="true">IF(D275="","",IF(OR(I275="",I275="Sent"),TODAY()-D275,""))</f>
        <v/>
      </c>
      <c r="G275" s="39"/>
      <c r="H275" s="39"/>
      <c r="I275" s="41"/>
      <c r="J275" s="39"/>
      <c r="K275" s="44"/>
      <c r="L275" s="42" t="str">
        <f aca="true">IF(D275="","",IF(AND(OR(I275="Won",I275="Lost"),J275=""),"Add the decision date",IF(I275="Won","Won – book the work in",IF(NOT(OR(I275="",I275="Sent")),"Closed – note why in Notes",IF(G275="",IF(F275&gt;=Lists!$N$6,"Chase now (1st chase)","Wait – 1st chase on "&amp;TEXT(D275+Lists!$N$6,"dd/mm/yyyy")),IF(H275="",IF(TODAY()-G275&gt;=Lists!$N$6,"Chase again (2nd chase)","Wait – 2nd chase on "&amp;TEXT(G275+Lists!$N$6,"dd/mm/yyyy")),"Call them, then mark Won, Lost or Expired"))))))</f>
        <v/>
      </c>
      <c r="M275" s="38"/>
      <c r="N275" s="42" t="n">
        <f aca="false">IF(I275="Won",IF(K275&lt;&gt;"",K275,N(E275)),0)</f>
        <v>0</v>
      </c>
      <c r="O275" s="42" t="str">
        <f aca="false">IF(ISNUMBER(F275),IF(F275&gt;Lists!$N$6,D275+ROW()/100000,""),"")</f>
        <v/>
      </c>
    </row>
    <row r="276" customFormat="false" ht="27.75" hidden="false" customHeight="true" outlineLevel="0" collapsed="false">
      <c r="A276" s="38"/>
      <c r="B276" s="38"/>
      <c r="C276" s="41"/>
      <c r="D276" s="39"/>
      <c r="E276" s="44"/>
      <c r="F276" s="47" t="str">
        <f aca="true">IF(D276="","",IF(OR(I276="",I276="Sent"),TODAY()-D276,""))</f>
        <v/>
      </c>
      <c r="G276" s="39"/>
      <c r="H276" s="39"/>
      <c r="I276" s="41"/>
      <c r="J276" s="39"/>
      <c r="K276" s="44"/>
      <c r="L276" s="42" t="str">
        <f aca="true">IF(D276="","",IF(AND(OR(I276="Won",I276="Lost"),J276=""),"Add the decision date",IF(I276="Won","Won – book the work in",IF(NOT(OR(I276="",I276="Sent")),"Closed – note why in Notes",IF(G276="",IF(F276&gt;=Lists!$N$6,"Chase now (1st chase)","Wait – 1st chase on "&amp;TEXT(D276+Lists!$N$6,"dd/mm/yyyy")),IF(H276="",IF(TODAY()-G276&gt;=Lists!$N$6,"Chase again (2nd chase)","Wait – 2nd chase on "&amp;TEXT(G276+Lists!$N$6,"dd/mm/yyyy")),"Call them, then mark Won, Lost or Expired"))))))</f>
        <v/>
      </c>
      <c r="M276" s="38"/>
      <c r="N276" s="42" t="n">
        <f aca="false">IF(I276="Won",IF(K276&lt;&gt;"",K276,N(E276)),0)</f>
        <v>0</v>
      </c>
      <c r="O276" s="42" t="str">
        <f aca="false">IF(ISNUMBER(F276),IF(F276&gt;Lists!$N$6,D276+ROW()/100000,""),"")</f>
        <v/>
      </c>
    </row>
    <row r="277" customFormat="false" ht="27.75" hidden="false" customHeight="true" outlineLevel="0" collapsed="false">
      <c r="A277" s="38"/>
      <c r="B277" s="38"/>
      <c r="C277" s="41"/>
      <c r="D277" s="39"/>
      <c r="E277" s="44"/>
      <c r="F277" s="47" t="str">
        <f aca="true">IF(D277="","",IF(OR(I277="",I277="Sent"),TODAY()-D277,""))</f>
        <v/>
      </c>
      <c r="G277" s="39"/>
      <c r="H277" s="39"/>
      <c r="I277" s="41"/>
      <c r="J277" s="39"/>
      <c r="K277" s="44"/>
      <c r="L277" s="42" t="str">
        <f aca="true">IF(D277="","",IF(AND(OR(I277="Won",I277="Lost"),J277=""),"Add the decision date",IF(I277="Won","Won – book the work in",IF(NOT(OR(I277="",I277="Sent")),"Closed – note why in Notes",IF(G277="",IF(F277&gt;=Lists!$N$6,"Chase now (1st chase)","Wait – 1st chase on "&amp;TEXT(D277+Lists!$N$6,"dd/mm/yyyy")),IF(H277="",IF(TODAY()-G277&gt;=Lists!$N$6,"Chase again (2nd chase)","Wait – 2nd chase on "&amp;TEXT(G277+Lists!$N$6,"dd/mm/yyyy")),"Call them, then mark Won, Lost or Expired"))))))</f>
        <v/>
      </c>
      <c r="M277" s="38"/>
      <c r="N277" s="42" t="n">
        <f aca="false">IF(I277="Won",IF(K277&lt;&gt;"",K277,N(E277)),0)</f>
        <v>0</v>
      </c>
      <c r="O277" s="42" t="str">
        <f aca="false">IF(ISNUMBER(F277),IF(F277&gt;Lists!$N$6,D277+ROW()/100000,""),"")</f>
        <v/>
      </c>
    </row>
    <row r="278" customFormat="false" ht="27.75" hidden="false" customHeight="true" outlineLevel="0" collapsed="false">
      <c r="A278" s="38"/>
      <c r="B278" s="38"/>
      <c r="C278" s="41"/>
      <c r="D278" s="39"/>
      <c r="E278" s="44"/>
      <c r="F278" s="47" t="str">
        <f aca="true">IF(D278="","",IF(OR(I278="",I278="Sent"),TODAY()-D278,""))</f>
        <v/>
      </c>
      <c r="G278" s="39"/>
      <c r="H278" s="39"/>
      <c r="I278" s="41"/>
      <c r="J278" s="39"/>
      <c r="K278" s="44"/>
      <c r="L278" s="42" t="str">
        <f aca="true">IF(D278="","",IF(AND(OR(I278="Won",I278="Lost"),J278=""),"Add the decision date",IF(I278="Won","Won – book the work in",IF(NOT(OR(I278="",I278="Sent")),"Closed – note why in Notes",IF(G278="",IF(F278&gt;=Lists!$N$6,"Chase now (1st chase)","Wait – 1st chase on "&amp;TEXT(D278+Lists!$N$6,"dd/mm/yyyy")),IF(H278="",IF(TODAY()-G278&gt;=Lists!$N$6,"Chase again (2nd chase)","Wait – 2nd chase on "&amp;TEXT(G278+Lists!$N$6,"dd/mm/yyyy")),"Call them, then mark Won, Lost or Expired"))))))</f>
        <v/>
      </c>
      <c r="M278" s="38"/>
      <c r="N278" s="42" t="n">
        <f aca="false">IF(I278="Won",IF(K278&lt;&gt;"",K278,N(E278)),0)</f>
        <v>0</v>
      </c>
      <c r="O278" s="42" t="str">
        <f aca="false">IF(ISNUMBER(F278),IF(F278&gt;Lists!$N$6,D278+ROW()/100000,""),"")</f>
        <v/>
      </c>
    </row>
    <row r="279" customFormat="false" ht="27.75" hidden="false" customHeight="true" outlineLevel="0" collapsed="false">
      <c r="A279" s="38"/>
      <c r="B279" s="38"/>
      <c r="C279" s="41"/>
      <c r="D279" s="39"/>
      <c r="E279" s="44"/>
      <c r="F279" s="47" t="str">
        <f aca="true">IF(D279="","",IF(OR(I279="",I279="Sent"),TODAY()-D279,""))</f>
        <v/>
      </c>
      <c r="G279" s="39"/>
      <c r="H279" s="39"/>
      <c r="I279" s="41"/>
      <c r="J279" s="39"/>
      <c r="K279" s="44"/>
      <c r="L279" s="42" t="str">
        <f aca="true">IF(D279="","",IF(AND(OR(I279="Won",I279="Lost"),J279=""),"Add the decision date",IF(I279="Won","Won – book the work in",IF(NOT(OR(I279="",I279="Sent")),"Closed – note why in Notes",IF(G279="",IF(F279&gt;=Lists!$N$6,"Chase now (1st chase)","Wait – 1st chase on "&amp;TEXT(D279+Lists!$N$6,"dd/mm/yyyy")),IF(H279="",IF(TODAY()-G279&gt;=Lists!$N$6,"Chase again (2nd chase)","Wait – 2nd chase on "&amp;TEXT(G279+Lists!$N$6,"dd/mm/yyyy")),"Call them, then mark Won, Lost or Expired"))))))</f>
        <v/>
      </c>
      <c r="M279" s="38"/>
      <c r="N279" s="42" t="n">
        <f aca="false">IF(I279="Won",IF(K279&lt;&gt;"",K279,N(E279)),0)</f>
        <v>0</v>
      </c>
      <c r="O279" s="42" t="str">
        <f aca="false">IF(ISNUMBER(F279),IF(F279&gt;Lists!$N$6,D279+ROW()/100000,""),"")</f>
        <v/>
      </c>
    </row>
    <row r="280" customFormat="false" ht="27.75" hidden="false" customHeight="true" outlineLevel="0" collapsed="false">
      <c r="A280" s="38"/>
      <c r="B280" s="38"/>
      <c r="C280" s="41"/>
      <c r="D280" s="39"/>
      <c r="E280" s="44"/>
      <c r="F280" s="47" t="str">
        <f aca="true">IF(D280="","",IF(OR(I280="",I280="Sent"),TODAY()-D280,""))</f>
        <v/>
      </c>
      <c r="G280" s="39"/>
      <c r="H280" s="39"/>
      <c r="I280" s="41"/>
      <c r="J280" s="39"/>
      <c r="K280" s="44"/>
      <c r="L280" s="42" t="str">
        <f aca="true">IF(D280="","",IF(AND(OR(I280="Won",I280="Lost"),J280=""),"Add the decision date",IF(I280="Won","Won – book the work in",IF(NOT(OR(I280="",I280="Sent")),"Closed – note why in Notes",IF(G280="",IF(F280&gt;=Lists!$N$6,"Chase now (1st chase)","Wait – 1st chase on "&amp;TEXT(D280+Lists!$N$6,"dd/mm/yyyy")),IF(H280="",IF(TODAY()-G280&gt;=Lists!$N$6,"Chase again (2nd chase)","Wait – 2nd chase on "&amp;TEXT(G280+Lists!$N$6,"dd/mm/yyyy")),"Call them, then mark Won, Lost or Expired"))))))</f>
        <v/>
      </c>
      <c r="M280" s="38"/>
      <c r="N280" s="42" t="n">
        <f aca="false">IF(I280="Won",IF(K280&lt;&gt;"",K280,N(E280)),0)</f>
        <v>0</v>
      </c>
      <c r="O280" s="42" t="str">
        <f aca="false">IF(ISNUMBER(F280),IF(F280&gt;Lists!$N$6,D280+ROW()/100000,""),"")</f>
        <v/>
      </c>
    </row>
    <row r="281" customFormat="false" ht="27.75" hidden="false" customHeight="true" outlineLevel="0" collapsed="false">
      <c r="A281" s="38"/>
      <c r="B281" s="38"/>
      <c r="C281" s="41"/>
      <c r="D281" s="39"/>
      <c r="E281" s="44"/>
      <c r="F281" s="47" t="str">
        <f aca="true">IF(D281="","",IF(OR(I281="",I281="Sent"),TODAY()-D281,""))</f>
        <v/>
      </c>
      <c r="G281" s="39"/>
      <c r="H281" s="39"/>
      <c r="I281" s="41"/>
      <c r="J281" s="39"/>
      <c r="K281" s="44"/>
      <c r="L281" s="42" t="str">
        <f aca="true">IF(D281="","",IF(AND(OR(I281="Won",I281="Lost"),J281=""),"Add the decision date",IF(I281="Won","Won – book the work in",IF(NOT(OR(I281="",I281="Sent")),"Closed – note why in Notes",IF(G281="",IF(F281&gt;=Lists!$N$6,"Chase now (1st chase)","Wait – 1st chase on "&amp;TEXT(D281+Lists!$N$6,"dd/mm/yyyy")),IF(H281="",IF(TODAY()-G281&gt;=Lists!$N$6,"Chase again (2nd chase)","Wait – 2nd chase on "&amp;TEXT(G281+Lists!$N$6,"dd/mm/yyyy")),"Call them, then mark Won, Lost or Expired"))))))</f>
        <v/>
      </c>
      <c r="M281" s="38"/>
      <c r="N281" s="42" t="n">
        <f aca="false">IF(I281="Won",IF(K281&lt;&gt;"",K281,N(E281)),0)</f>
        <v>0</v>
      </c>
      <c r="O281" s="42" t="str">
        <f aca="false">IF(ISNUMBER(F281),IF(F281&gt;Lists!$N$6,D281+ROW()/100000,""),"")</f>
        <v/>
      </c>
    </row>
    <row r="282" customFormat="false" ht="27.75" hidden="false" customHeight="true" outlineLevel="0" collapsed="false">
      <c r="A282" s="38"/>
      <c r="B282" s="38"/>
      <c r="C282" s="41"/>
      <c r="D282" s="39"/>
      <c r="E282" s="44"/>
      <c r="F282" s="47" t="str">
        <f aca="true">IF(D282="","",IF(OR(I282="",I282="Sent"),TODAY()-D282,""))</f>
        <v/>
      </c>
      <c r="G282" s="39"/>
      <c r="H282" s="39"/>
      <c r="I282" s="41"/>
      <c r="J282" s="39"/>
      <c r="K282" s="44"/>
      <c r="L282" s="42" t="str">
        <f aca="true">IF(D282="","",IF(AND(OR(I282="Won",I282="Lost"),J282=""),"Add the decision date",IF(I282="Won","Won – book the work in",IF(NOT(OR(I282="",I282="Sent")),"Closed – note why in Notes",IF(G282="",IF(F282&gt;=Lists!$N$6,"Chase now (1st chase)","Wait – 1st chase on "&amp;TEXT(D282+Lists!$N$6,"dd/mm/yyyy")),IF(H282="",IF(TODAY()-G282&gt;=Lists!$N$6,"Chase again (2nd chase)","Wait – 2nd chase on "&amp;TEXT(G282+Lists!$N$6,"dd/mm/yyyy")),"Call them, then mark Won, Lost or Expired"))))))</f>
        <v/>
      </c>
      <c r="M282" s="38"/>
      <c r="N282" s="42" t="n">
        <f aca="false">IF(I282="Won",IF(K282&lt;&gt;"",K282,N(E282)),0)</f>
        <v>0</v>
      </c>
      <c r="O282" s="42" t="str">
        <f aca="false">IF(ISNUMBER(F282),IF(F282&gt;Lists!$N$6,D282+ROW()/100000,""),"")</f>
        <v/>
      </c>
    </row>
    <row r="283" customFormat="false" ht="27.75" hidden="false" customHeight="true" outlineLevel="0" collapsed="false">
      <c r="A283" s="38"/>
      <c r="B283" s="38"/>
      <c r="C283" s="41"/>
      <c r="D283" s="39"/>
      <c r="E283" s="44"/>
      <c r="F283" s="47" t="str">
        <f aca="true">IF(D283="","",IF(OR(I283="",I283="Sent"),TODAY()-D283,""))</f>
        <v/>
      </c>
      <c r="G283" s="39"/>
      <c r="H283" s="39"/>
      <c r="I283" s="41"/>
      <c r="J283" s="39"/>
      <c r="K283" s="44"/>
      <c r="L283" s="42" t="str">
        <f aca="true">IF(D283="","",IF(AND(OR(I283="Won",I283="Lost"),J283=""),"Add the decision date",IF(I283="Won","Won – book the work in",IF(NOT(OR(I283="",I283="Sent")),"Closed – note why in Notes",IF(G283="",IF(F283&gt;=Lists!$N$6,"Chase now (1st chase)","Wait – 1st chase on "&amp;TEXT(D283+Lists!$N$6,"dd/mm/yyyy")),IF(H283="",IF(TODAY()-G283&gt;=Lists!$N$6,"Chase again (2nd chase)","Wait – 2nd chase on "&amp;TEXT(G283+Lists!$N$6,"dd/mm/yyyy")),"Call them, then mark Won, Lost or Expired"))))))</f>
        <v/>
      </c>
      <c r="M283" s="38"/>
      <c r="N283" s="42" t="n">
        <f aca="false">IF(I283="Won",IF(K283&lt;&gt;"",K283,N(E283)),0)</f>
        <v>0</v>
      </c>
      <c r="O283" s="42" t="str">
        <f aca="false">IF(ISNUMBER(F283),IF(F283&gt;Lists!$N$6,D283+ROW()/100000,""),"")</f>
        <v/>
      </c>
    </row>
    <row r="284" customFormat="false" ht="27.75" hidden="false" customHeight="true" outlineLevel="0" collapsed="false">
      <c r="A284" s="38"/>
      <c r="B284" s="38"/>
      <c r="C284" s="41"/>
      <c r="D284" s="39"/>
      <c r="E284" s="44"/>
      <c r="F284" s="47" t="str">
        <f aca="true">IF(D284="","",IF(OR(I284="",I284="Sent"),TODAY()-D284,""))</f>
        <v/>
      </c>
      <c r="G284" s="39"/>
      <c r="H284" s="39"/>
      <c r="I284" s="41"/>
      <c r="J284" s="39"/>
      <c r="K284" s="44"/>
      <c r="L284" s="42" t="str">
        <f aca="true">IF(D284="","",IF(AND(OR(I284="Won",I284="Lost"),J284=""),"Add the decision date",IF(I284="Won","Won – book the work in",IF(NOT(OR(I284="",I284="Sent")),"Closed – note why in Notes",IF(G284="",IF(F284&gt;=Lists!$N$6,"Chase now (1st chase)","Wait – 1st chase on "&amp;TEXT(D284+Lists!$N$6,"dd/mm/yyyy")),IF(H284="",IF(TODAY()-G284&gt;=Lists!$N$6,"Chase again (2nd chase)","Wait – 2nd chase on "&amp;TEXT(G284+Lists!$N$6,"dd/mm/yyyy")),"Call them, then mark Won, Lost or Expired"))))))</f>
        <v/>
      </c>
      <c r="M284" s="38"/>
      <c r="N284" s="42" t="n">
        <f aca="false">IF(I284="Won",IF(K284&lt;&gt;"",K284,N(E284)),0)</f>
        <v>0</v>
      </c>
      <c r="O284" s="42" t="str">
        <f aca="false">IF(ISNUMBER(F284),IF(F284&gt;Lists!$N$6,D284+ROW()/100000,""),"")</f>
        <v/>
      </c>
    </row>
    <row r="285" customFormat="false" ht="27.75" hidden="false" customHeight="true" outlineLevel="0" collapsed="false">
      <c r="A285" s="38"/>
      <c r="B285" s="38"/>
      <c r="C285" s="41"/>
      <c r="D285" s="39"/>
      <c r="E285" s="44"/>
      <c r="F285" s="47" t="str">
        <f aca="true">IF(D285="","",IF(OR(I285="",I285="Sent"),TODAY()-D285,""))</f>
        <v/>
      </c>
      <c r="G285" s="39"/>
      <c r="H285" s="39"/>
      <c r="I285" s="41"/>
      <c r="J285" s="39"/>
      <c r="K285" s="44"/>
      <c r="L285" s="42" t="str">
        <f aca="true">IF(D285="","",IF(AND(OR(I285="Won",I285="Lost"),J285=""),"Add the decision date",IF(I285="Won","Won – book the work in",IF(NOT(OR(I285="",I285="Sent")),"Closed – note why in Notes",IF(G285="",IF(F285&gt;=Lists!$N$6,"Chase now (1st chase)","Wait – 1st chase on "&amp;TEXT(D285+Lists!$N$6,"dd/mm/yyyy")),IF(H285="",IF(TODAY()-G285&gt;=Lists!$N$6,"Chase again (2nd chase)","Wait – 2nd chase on "&amp;TEXT(G285+Lists!$N$6,"dd/mm/yyyy")),"Call them, then mark Won, Lost or Expired"))))))</f>
        <v/>
      </c>
      <c r="M285" s="38"/>
      <c r="N285" s="42" t="n">
        <f aca="false">IF(I285="Won",IF(K285&lt;&gt;"",K285,N(E285)),0)</f>
        <v>0</v>
      </c>
      <c r="O285" s="42" t="str">
        <f aca="false">IF(ISNUMBER(F285),IF(F285&gt;Lists!$N$6,D285+ROW()/100000,""),"")</f>
        <v/>
      </c>
    </row>
    <row r="286" customFormat="false" ht="27.75" hidden="false" customHeight="true" outlineLevel="0" collapsed="false">
      <c r="A286" s="38"/>
      <c r="B286" s="38"/>
      <c r="C286" s="41"/>
      <c r="D286" s="39"/>
      <c r="E286" s="44"/>
      <c r="F286" s="47" t="str">
        <f aca="true">IF(D286="","",IF(OR(I286="",I286="Sent"),TODAY()-D286,""))</f>
        <v/>
      </c>
      <c r="G286" s="39"/>
      <c r="H286" s="39"/>
      <c r="I286" s="41"/>
      <c r="J286" s="39"/>
      <c r="K286" s="44"/>
      <c r="L286" s="42" t="str">
        <f aca="true">IF(D286="","",IF(AND(OR(I286="Won",I286="Lost"),J286=""),"Add the decision date",IF(I286="Won","Won – book the work in",IF(NOT(OR(I286="",I286="Sent")),"Closed – note why in Notes",IF(G286="",IF(F286&gt;=Lists!$N$6,"Chase now (1st chase)","Wait – 1st chase on "&amp;TEXT(D286+Lists!$N$6,"dd/mm/yyyy")),IF(H286="",IF(TODAY()-G286&gt;=Lists!$N$6,"Chase again (2nd chase)","Wait – 2nd chase on "&amp;TEXT(G286+Lists!$N$6,"dd/mm/yyyy")),"Call them, then mark Won, Lost or Expired"))))))</f>
        <v/>
      </c>
      <c r="M286" s="38"/>
      <c r="N286" s="42" t="n">
        <f aca="false">IF(I286="Won",IF(K286&lt;&gt;"",K286,N(E286)),0)</f>
        <v>0</v>
      </c>
      <c r="O286" s="42" t="str">
        <f aca="false">IF(ISNUMBER(F286),IF(F286&gt;Lists!$N$6,D286+ROW()/100000,""),"")</f>
        <v/>
      </c>
    </row>
    <row r="287" customFormat="false" ht="27.75" hidden="false" customHeight="true" outlineLevel="0" collapsed="false">
      <c r="A287" s="38"/>
      <c r="B287" s="38"/>
      <c r="C287" s="41"/>
      <c r="D287" s="39"/>
      <c r="E287" s="44"/>
      <c r="F287" s="47" t="str">
        <f aca="true">IF(D287="","",IF(OR(I287="",I287="Sent"),TODAY()-D287,""))</f>
        <v/>
      </c>
      <c r="G287" s="39"/>
      <c r="H287" s="39"/>
      <c r="I287" s="41"/>
      <c r="J287" s="39"/>
      <c r="K287" s="44"/>
      <c r="L287" s="42" t="str">
        <f aca="true">IF(D287="","",IF(AND(OR(I287="Won",I287="Lost"),J287=""),"Add the decision date",IF(I287="Won","Won – book the work in",IF(NOT(OR(I287="",I287="Sent")),"Closed – note why in Notes",IF(G287="",IF(F287&gt;=Lists!$N$6,"Chase now (1st chase)","Wait – 1st chase on "&amp;TEXT(D287+Lists!$N$6,"dd/mm/yyyy")),IF(H287="",IF(TODAY()-G287&gt;=Lists!$N$6,"Chase again (2nd chase)","Wait – 2nd chase on "&amp;TEXT(G287+Lists!$N$6,"dd/mm/yyyy")),"Call them, then mark Won, Lost or Expired"))))))</f>
        <v/>
      </c>
      <c r="M287" s="38"/>
      <c r="N287" s="42" t="n">
        <f aca="false">IF(I287="Won",IF(K287&lt;&gt;"",K287,N(E287)),0)</f>
        <v>0</v>
      </c>
      <c r="O287" s="42" t="str">
        <f aca="false">IF(ISNUMBER(F287),IF(F287&gt;Lists!$N$6,D287+ROW()/100000,""),"")</f>
        <v/>
      </c>
    </row>
    <row r="288" customFormat="false" ht="27.75" hidden="false" customHeight="true" outlineLevel="0" collapsed="false">
      <c r="A288" s="38"/>
      <c r="B288" s="38"/>
      <c r="C288" s="41"/>
      <c r="D288" s="39"/>
      <c r="E288" s="44"/>
      <c r="F288" s="47" t="str">
        <f aca="true">IF(D288="","",IF(OR(I288="",I288="Sent"),TODAY()-D288,""))</f>
        <v/>
      </c>
      <c r="G288" s="39"/>
      <c r="H288" s="39"/>
      <c r="I288" s="41"/>
      <c r="J288" s="39"/>
      <c r="K288" s="44"/>
      <c r="L288" s="42" t="str">
        <f aca="true">IF(D288="","",IF(AND(OR(I288="Won",I288="Lost"),J288=""),"Add the decision date",IF(I288="Won","Won – book the work in",IF(NOT(OR(I288="",I288="Sent")),"Closed – note why in Notes",IF(G288="",IF(F288&gt;=Lists!$N$6,"Chase now (1st chase)","Wait – 1st chase on "&amp;TEXT(D288+Lists!$N$6,"dd/mm/yyyy")),IF(H288="",IF(TODAY()-G288&gt;=Lists!$N$6,"Chase again (2nd chase)","Wait – 2nd chase on "&amp;TEXT(G288+Lists!$N$6,"dd/mm/yyyy")),"Call them, then mark Won, Lost or Expired"))))))</f>
        <v/>
      </c>
      <c r="M288" s="38"/>
      <c r="N288" s="42" t="n">
        <f aca="false">IF(I288="Won",IF(K288&lt;&gt;"",K288,N(E288)),0)</f>
        <v>0</v>
      </c>
      <c r="O288" s="42" t="str">
        <f aca="false">IF(ISNUMBER(F288),IF(F288&gt;Lists!$N$6,D288+ROW()/100000,""),"")</f>
        <v/>
      </c>
    </row>
    <row r="289" customFormat="false" ht="27.75" hidden="false" customHeight="true" outlineLevel="0" collapsed="false">
      <c r="A289" s="38"/>
      <c r="B289" s="38"/>
      <c r="C289" s="41"/>
      <c r="D289" s="39"/>
      <c r="E289" s="44"/>
      <c r="F289" s="47" t="str">
        <f aca="true">IF(D289="","",IF(OR(I289="",I289="Sent"),TODAY()-D289,""))</f>
        <v/>
      </c>
      <c r="G289" s="39"/>
      <c r="H289" s="39"/>
      <c r="I289" s="41"/>
      <c r="J289" s="39"/>
      <c r="K289" s="44"/>
      <c r="L289" s="42" t="str">
        <f aca="true">IF(D289="","",IF(AND(OR(I289="Won",I289="Lost"),J289=""),"Add the decision date",IF(I289="Won","Won – book the work in",IF(NOT(OR(I289="",I289="Sent")),"Closed – note why in Notes",IF(G289="",IF(F289&gt;=Lists!$N$6,"Chase now (1st chase)","Wait – 1st chase on "&amp;TEXT(D289+Lists!$N$6,"dd/mm/yyyy")),IF(H289="",IF(TODAY()-G289&gt;=Lists!$N$6,"Chase again (2nd chase)","Wait – 2nd chase on "&amp;TEXT(G289+Lists!$N$6,"dd/mm/yyyy")),"Call them, then mark Won, Lost or Expired"))))))</f>
        <v/>
      </c>
      <c r="M289" s="38"/>
      <c r="N289" s="42" t="n">
        <f aca="false">IF(I289="Won",IF(K289&lt;&gt;"",K289,N(E289)),0)</f>
        <v>0</v>
      </c>
      <c r="O289" s="42" t="str">
        <f aca="false">IF(ISNUMBER(F289),IF(F289&gt;Lists!$N$6,D289+ROW()/100000,""),"")</f>
        <v/>
      </c>
    </row>
    <row r="290" customFormat="false" ht="27.75" hidden="false" customHeight="true" outlineLevel="0" collapsed="false">
      <c r="A290" s="38"/>
      <c r="B290" s="38"/>
      <c r="C290" s="41"/>
      <c r="D290" s="39"/>
      <c r="E290" s="44"/>
      <c r="F290" s="47" t="str">
        <f aca="true">IF(D290="","",IF(OR(I290="",I290="Sent"),TODAY()-D290,""))</f>
        <v/>
      </c>
      <c r="G290" s="39"/>
      <c r="H290" s="39"/>
      <c r="I290" s="41"/>
      <c r="J290" s="39"/>
      <c r="K290" s="44"/>
      <c r="L290" s="42" t="str">
        <f aca="true">IF(D290="","",IF(AND(OR(I290="Won",I290="Lost"),J290=""),"Add the decision date",IF(I290="Won","Won – book the work in",IF(NOT(OR(I290="",I290="Sent")),"Closed – note why in Notes",IF(G290="",IF(F290&gt;=Lists!$N$6,"Chase now (1st chase)","Wait – 1st chase on "&amp;TEXT(D290+Lists!$N$6,"dd/mm/yyyy")),IF(H290="",IF(TODAY()-G290&gt;=Lists!$N$6,"Chase again (2nd chase)","Wait – 2nd chase on "&amp;TEXT(G290+Lists!$N$6,"dd/mm/yyyy")),"Call them, then mark Won, Lost or Expired"))))))</f>
        <v/>
      </c>
      <c r="M290" s="38"/>
      <c r="N290" s="42" t="n">
        <f aca="false">IF(I290="Won",IF(K290&lt;&gt;"",K290,N(E290)),0)</f>
        <v>0</v>
      </c>
      <c r="O290" s="42" t="str">
        <f aca="false">IF(ISNUMBER(F290),IF(F290&gt;Lists!$N$6,D290+ROW()/100000,""),"")</f>
        <v/>
      </c>
    </row>
    <row r="291" customFormat="false" ht="27.75" hidden="false" customHeight="true" outlineLevel="0" collapsed="false">
      <c r="A291" s="38"/>
      <c r="B291" s="38"/>
      <c r="C291" s="41"/>
      <c r="D291" s="39"/>
      <c r="E291" s="44"/>
      <c r="F291" s="47" t="str">
        <f aca="true">IF(D291="","",IF(OR(I291="",I291="Sent"),TODAY()-D291,""))</f>
        <v/>
      </c>
      <c r="G291" s="39"/>
      <c r="H291" s="39"/>
      <c r="I291" s="41"/>
      <c r="J291" s="39"/>
      <c r="K291" s="44"/>
      <c r="L291" s="42" t="str">
        <f aca="true">IF(D291="","",IF(AND(OR(I291="Won",I291="Lost"),J291=""),"Add the decision date",IF(I291="Won","Won – book the work in",IF(NOT(OR(I291="",I291="Sent")),"Closed – note why in Notes",IF(G291="",IF(F291&gt;=Lists!$N$6,"Chase now (1st chase)","Wait – 1st chase on "&amp;TEXT(D291+Lists!$N$6,"dd/mm/yyyy")),IF(H291="",IF(TODAY()-G291&gt;=Lists!$N$6,"Chase again (2nd chase)","Wait – 2nd chase on "&amp;TEXT(G291+Lists!$N$6,"dd/mm/yyyy")),"Call them, then mark Won, Lost or Expired"))))))</f>
        <v/>
      </c>
      <c r="M291" s="38"/>
      <c r="N291" s="42" t="n">
        <f aca="false">IF(I291="Won",IF(K291&lt;&gt;"",K291,N(E291)),0)</f>
        <v>0</v>
      </c>
      <c r="O291" s="42" t="str">
        <f aca="false">IF(ISNUMBER(F291),IF(F291&gt;Lists!$N$6,D291+ROW()/100000,""),"")</f>
        <v/>
      </c>
    </row>
    <row r="292" customFormat="false" ht="27.75" hidden="false" customHeight="true" outlineLevel="0" collapsed="false">
      <c r="A292" s="38"/>
      <c r="B292" s="38"/>
      <c r="C292" s="41"/>
      <c r="D292" s="39"/>
      <c r="E292" s="44"/>
      <c r="F292" s="47" t="str">
        <f aca="true">IF(D292="","",IF(OR(I292="",I292="Sent"),TODAY()-D292,""))</f>
        <v/>
      </c>
      <c r="G292" s="39"/>
      <c r="H292" s="39"/>
      <c r="I292" s="41"/>
      <c r="J292" s="39"/>
      <c r="K292" s="44"/>
      <c r="L292" s="42" t="str">
        <f aca="true">IF(D292="","",IF(AND(OR(I292="Won",I292="Lost"),J292=""),"Add the decision date",IF(I292="Won","Won – book the work in",IF(NOT(OR(I292="",I292="Sent")),"Closed – note why in Notes",IF(G292="",IF(F292&gt;=Lists!$N$6,"Chase now (1st chase)","Wait – 1st chase on "&amp;TEXT(D292+Lists!$N$6,"dd/mm/yyyy")),IF(H292="",IF(TODAY()-G292&gt;=Lists!$N$6,"Chase again (2nd chase)","Wait – 2nd chase on "&amp;TEXT(G292+Lists!$N$6,"dd/mm/yyyy")),"Call them, then mark Won, Lost or Expired"))))))</f>
        <v/>
      </c>
      <c r="M292" s="38"/>
      <c r="N292" s="42" t="n">
        <f aca="false">IF(I292="Won",IF(K292&lt;&gt;"",K292,N(E292)),0)</f>
        <v>0</v>
      </c>
      <c r="O292" s="42" t="str">
        <f aca="false">IF(ISNUMBER(F292),IF(F292&gt;Lists!$N$6,D292+ROW()/100000,""),"")</f>
        <v/>
      </c>
    </row>
    <row r="293" customFormat="false" ht="27.75" hidden="false" customHeight="true" outlineLevel="0" collapsed="false">
      <c r="A293" s="38"/>
      <c r="B293" s="38"/>
      <c r="C293" s="41"/>
      <c r="D293" s="39"/>
      <c r="E293" s="44"/>
      <c r="F293" s="47" t="str">
        <f aca="true">IF(D293="","",IF(OR(I293="",I293="Sent"),TODAY()-D293,""))</f>
        <v/>
      </c>
      <c r="G293" s="39"/>
      <c r="H293" s="39"/>
      <c r="I293" s="41"/>
      <c r="J293" s="39"/>
      <c r="K293" s="44"/>
      <c r="L293" s="42" t="str">
        <f aca="true">IF(D293="","",IF(AND(OR(I293="Won",I293="Lost"),J293=""),"Add the decision date",IF(I293="Won","Won – book the work in",IF(NOT(OR(I293="",I293="Sent")),"Closed – note why in Notes",IF(G293="",IF(F293&gt;=Lists!$N$6,"Chase now (1st chase)","Wait – 1st chase on "&amp;TEXT(D293+Lists!$N$6,"dd/mm/yyyy")),IF(H293="",IF(TODAY()-G293&gt;=Lists!$N$6,"Chase again (2nd chase)","Wait – 2nd chase on "&amp;TEXT(G293+Lists!$N$6,"dd/mm/yyyy")),"Call them, then mark Won, Lost or Expired"))))))</f>
        <v/>
      </c>
      <c r="M293" s="38"/>
      <c r="N293" s="42" t="n">
        <f aca="false">IF(I293="Won",IF(K293&lt;&gt;"",K293,N(E293)),0)</f>
        <v>0</v>
      </c>
      <c r="O293" s="42" t="str">
        <f aca="false">IF(ISNUMBER(F293),IF(F293&gt;Lists!$N$6,D293+ROW()/100000,""),"")</f>
        <v/>
      </c>
    </row>
    <row r="294" customFormat="false" ht="27.75" hidden="false" customHeight="true" outlineLevel="0" collapsed="false">
      <c r="A294" s="38"/>
      <c r="B294" s="38"/>
      <c r="C294" s="41"/>
      <c r="D294" s="39"/>
      <c r="E294" s="44"/>
      <c r="F294" s="47" t="str">
        <f aca="true">IF(D294="","",IF(OR(I294="",I294="Sent"),TODAY()-D294,""))</f>
        <v/>
      </c>
      <c r="G294" s="39"/>
      <c r="H294" s="39"/>
      <c r="I294" s="41"/>
      <c r="J294" s="39"/>
      <c r="K294" s="44"/>
      <c r="L294" s="42" t="str">
        <f aca="true">IF(D294="","",IF(AND(OR(I294="Won",I294="Lost"),J294=""),"Add the decision date",IF(I294="Won","Won – book the work in",IF(NOT(OR(I294="",I294="Sent")),"Closed – note why in Notes",IF(G294="",IF(F294&gt;=Lists!$N$6,"Chase now (1st chase)","Wait – 1st chase on "&amp;TEXT(D294+Lists!$N$6,"dd/mm/yyyy")),IF(H294="",IF(TODAY()-G294&gt;=Lists!$N$6,"Chase again (2nd chase)","Wait – 2nd chase on "&amp;TEXT(G294+Lists!$N$6,"dd/mm/yyyy")),"Call them, then mark Won, Lost or Expired"))))))</f>
        <v/>
      </c>
      <c r="M294" s="38"/>
      <c r="N294" s="42" t="n">
        <f aca="false">IF(I294="Won",IF(K294&lt;&gt;"",K294,N(E294)),0)</f>
        <v>0</v>
      </c>
      <c r="O294" s="42" t="str">
        <f aca="false">IF(ISNUMBER(F294),IF(F294&gt;Lists!$N$6,D294+ROW()/100000,""),"")</f>
        <v/>
      </c>
    </row>
    <row r="295" customFormat="false" ht="27.75" hidden="false" customHeight="true" outlineLevel="0" collapsed="false">
      <c r="A295" s="38"/>
      <c r="B295" s="38"/>
      <c r="C295" s="41"/>
      <c r="D295" s="39"/>
      <c r="E295" s="44"/>
      <c r="F295" s="47" t="str">
        <f aca="true">IF(D295="","",IF(OR(I295="",I295="Sent"),TODAY()-D295,""))</f>
        <v/>
      </c>
      <c r="G295" s="39"/>
      <c r="H295" s="39"/>
      <c r="I295" s="41"/>
      <c r="J295" s="39"/>
      <c r="K295" s="44"/>
      <c r="L295" s="42" t="str">
        <f aca="true">IF(D295="","",IF(AND(OR(I295="Won",I295="Lost"),J295=""),"Add the decision date",IF(I295="Won","Won – book the work in",IF(NOT(OR(I295="",I295="Sent")),"Closed – note why in Notes",IF(G295="",IF(F295&gt;=Lists!$N$6,"Chase now (1st chase)","Wait – 1st chase on "&amp;TEXT(D295+Lists!$N$6,"dd/mm/yyyy")),IF(H295="",IF(TODAY()-G295&gt;=Lists!$N$6,"Chase again (2nd chase)","Wait – 2nd chase on "&amp;TEXT(G295+Lists!$N$6,"dd/mm/yyyy")),"Call them, then mark Won, Lost or Expired"))))))</f>
        <v/>
      </c>
      <c r="M295" s="38"/>
      <c r="N295" s="42" t="n">
        <f aca="false">IF(I295="Won",IF(K295&lt;&gt;"",K295,N(E295)),0)</f>
        <v>0</v>
      </c>
      <c r="O295" s="42" t="str">
        <f aca="false">IF(ISNUMBER(F295),IF(F295&gt;Lists!$N$6,D295+ROW()/100000,""),"")</f>
        <v/>
      </c>
    </row>
    <row r="296" customFormat="false" ht="27.75" hidden="false" customHeight="true" outlineLevel="0" collapsed="false">
      <c r="A296" s="38"/>
      <c r="B296" s="38"/>
      <c r="C296" s="41"/>
      <c r="D296" s="39"/>
      <c r="E296" s="44"/>
      <c r="F296" s="47" t="str">
        <f aca="true">IF(D296="","",IF(OR(I296="",I296="Sent"),TODAY()-D296,""))</f>
        <v/>
      </c>
      <c r="G296" s="39"/>
      <c r="H296" s="39"/>
      <c r="I296" s="41"/>
      <c r="J296" s="39"/>
      <c r="K296" s="44"/>
      <c r="L296" s="42" t="str">
        <f aca="true">IF(D296="","",IF(AND(OR(I296="Won",I296="Lost"),J296=""),"Add the decision date",IF(I296="Won","Won – book the work in",IF(NOT(OR(I296="",I296="Sent")),"Closed – note why in Notes",IF(G296="",IF(F296&gt;=Lists!$N$6,"Chase now (1st chase)","Wait – 1st chase on "&amp;TEXT(D296+Lists!$N$6,"dd/mm/yyyy")),IF(H296="",IF(TODAY()-G296&gt;=Lists!$N$6,"Chase again (2nd chase)","Wait – 2nd chase on "&amp;TEXT(G296+Lists!$N$6,"dd/mm/yyyy")),"Call them, then mark Won, Lost or Expired"))))))</f>
        <v/>
      </c>
      <c r="M296" s="38"/>
      <c r="N296" s="42" t="n">
        <f aca="false">IF(I296="Won",IF(K296&lt;&gt;"",K296,N(E296)),0)</f>
        <v>0</v>
      </c>
      <c r="O296" s="42" t="str">
        <f aca="false">IF(ISNUMBER(F296),IF(F296&gt;Lists!$N$6,D296+ROW()/100000,""),"")</f>
        <v/>
      </c>
    </row>
    <row r="297" customFormat="false" ht="27.75" hidden="false" customHeight="true" outlineLevel="0" collapsed="false">
      <c r="A297" s="38"/>
      <c r="B297" s="38"/>
      <c r="C297" s="41"/>
      <c r="D297" s="39"/>
      <c r="E297" s="44"/>
      <c r="F297" s="47" t="str">
        <f aca="true">IF(D297="","",IF(OR(I297="",I297="Sent"),TODAY()-D297,""))</f>
        <v/>
      </c>
      <c r="G297" s="39"/>
      <c r="H297" s="39"/>
      <c r="I297" s="41"/>
      <c r="J297" s="39"/>
      <c r="K297" s="44"/>
      <c r="L297" s="42" t="str">
        <f aca="true">IF(D297="","",IF(AND(OR(I297="Won",I297="Lost"),J297=""),"Add the decision date",IF(I297="Won","Won – book the work in",IF(NOT(OR(I297="",I297="Sent")),"Closed – note why in Notes",IF(G297="",IF(F297&gt;=Lists!$N$6,"Chase now (1st chase)","Wait – 1st chase on "&amp;TEXT(D297+Lists!$N$6,"dd/mm/yyyy")),IF(H297="",IF(TODAY()-G297&gt;=Lists!$N$6,"Chase again (2nd chase)","Wait – 2nd chase on "&amp;TEXT(G297+Lists!$N$6,"dd/mm/yyyy")),"Call them, then mark Won, Lost or Expired"))))))</f>
        <v/>
      </c>
      <c r="M297" s="38"/>
      <c r="N297" s="42" t="n">
        <f aca="false">IF(I297="Won",IF(K297&lt;&gt;"",K297,N(E297)),0)</f>
        <v>0</v>
      </c>
      <c r="O297" s="42" t="str">
        <f aca="false">IF(ISNUMBER(F297),IF(F297&gt;Lists!$N$6,D297+ROW()/100000,""),"")</f>
        <v/>
      </c>
    </row>
    <row r="298" customFormat="false" ht="27.75" hidden="false" customHeight="true" outlineLevel="0" collapsed="false">
      <c r="A298" s="38"/>
      <c r="B298" s="38"/>
      <c r="C298" s="41"/>
      <c r="D298" s="39"/>
      <c r="E298" s="44"/>
      <c r="F298" s="47" t="str">
        <f aca="true">IF(D298="","",IF(OR(I298="",I298="Sent"),TODAY()-D298,""))</f>
        <v/>
      </c>
      <c r="G298" s="39"/>
      <c r="H298" s="39"/>
      <c r="I298" s="41"/>
      <c r="J298" s="39"/>
      <c r="K298" s="44"/>
      <c r="L298" s="42" t="str">
        <f aca="true">IF(D298="","",IF(AND(OR(I298="Won",I298="Lost"),J298=""),"Add the decision date",IF(I298="Won","Won – book the work in",IF(NOT(OR(I298="",I298="Sent")),"Closed – note why in Notes",IF(G298="",IF(F298&gt;=Lists!$N$6,"Chase now (1st chase)","Wait – 1st chase on "&amp;TEXT(D298+Lists!$N$6,"dd/mm/yyyy")),IF(H298="",IF(TODAY()-G298&gt;=Lists!$N$6,"Chase again (2nd chase)","Wait – 2nd chase on "&amp;TEXT(G298+Lists!$N$6,"dd/mm/yyyy")),"Call them, then mark Won, Lost or Expired"))))))</f>
        <v/>
      </c>
      <c r="M298" s="38"/>
      <c r="N298" s="42" t="n">
        <f aca="false">IF(I298="Won",IF(K298&lt;&gt;"",K298,N(E298)),0)</f>
        <v>0</v>
      </c>
      <c r="O298" s="42" t="str">
        <f aca="false">IF(ISNUMBER(F298),IF(F298&gt;Lists!$N$6,D298+ROW()/100000,""),"")</f>
        <v/>
      </c>
    </row>
    <row r="299" customFormat="false" ht="27.75" hidden="false" customHeight="true" outlineLevel="0" collapsed="false">
      <c r="A299" s="38"/>
      <c r="B299" s="38"/>
      <c r="C299" s="41"/>
      <c r="D299" s="39"/>
      <c r="E299" s="44"/>
      <c r="F299" s="47" t="str">
        <f aca="true">IF(D299="","",IF(OR(I299="",I299="Sent"),TODAY()-D299,""))</f>
        <v/>
      </c>
      <c r="G299" s="39"/>
      <c r="H299" s="39"/>
      <c r="I299" s="41"/>
      <c r="J299" s="39"/>
      <c r="K299" s="44"/>
      <c r="L299" s="42" t="str">
        <f aca="true">IF(D299="","",IF(AND(OR(I299="Won",I299="Lost"),J299=""),"Add the decision date",IF(I299="Won","Won – book the work in",IF(NOT(OR(I299="",I299="Sent")),"Closed – note why in Notes",IF(G299="",IF(F299&gt;=Lists!$N$6,"Chase now (1st chase)","Wait – 1st chase on "&amp;TEXT(D299+Lists!$N$6,"dd/mm/yyyy")),IF(H299="",IF(TODAY()-G299&gt;=Lists!$N$6,"Chase again (2nd chase)","Wait – 2nd chase on "&amp;TEXT(G299+Lists!$N$6,"dd/mm/yyyy")),"Call them, then mark Won, Lost or Expired"))))))</f>
        <v/>
      </c>
      <c r="M299" s="38"/>
      <c r="N299" s="42" t="n">
        <f aca="false">IF(I299="Won",IF(K299&lt;&gt;"",K299,N(E299)),0)</f>
        <v>0</v>
      </c>
      <c r="O299" s="42" t="str">
        <f aca="false">IF(ISNUMBER(F299),IF(F299&gt;Lists!$N$6,D299+ROW()/100000,""),"")</f>
        <v/>
      </c>
    </row>
    <row r="300" customFormat="false" ht="27.75" hidden="false" customHeight="true" outlineLevel="0" collapsed="false">
      <c r="A300" s="38"/>
      <c r="B300" s="38"/>
      <c r="C300" s="41"/>
      <c r="D300" s="39"/>
      <c r="E300" s="44"/>
      <c r="F300" s="47" t="str">
        <f aca="true">IF(D300="","",IF(OR(I300="",I300="Sent"),TODAY()-D300,""))</f>
        <v/>
      </c>
      <c r="G300" s="39"/>
      <c r="H300" s="39"/>
      <c r="I300" s="41"/>
      <c r="J300" s="39"/>
      <c r="K300" s="44"/>
      <c r="L300" s="42" t="str">
        <f aca="true">IF(D300="","",IF(AND(OR(I300="Won",I300="Lost"),J300=""),"Add the decision date",IF(I300="Won","Won – book the work in",IF(NOT(OR(I300="",I300="Sent")),"Closed – note why in Notes",IF(G300="",IF(F300&gt;=Lists!$N$6,"Chase now (1st chase)","Wait – 1st chase on "&amp;TEXT(D300+Lists!$N$6,"dd/mm/yyyy")),IF(H300="",IF(TODAY()-G300&gt;=Lists!$N$6,"Chase again (2nd chase)","Wait – 2nd chase on "&amp;TEXT(G300+Lists!$N$6,"dd/mm/yyyy")),"Call them, then mark Won, Lost or Expired"))))))</f>
        <v/>
      </c>
      <c r="M300" s="38"/>
      <c r="N300" s="42" t="n">
        <f aca="false">IF(I300="Won",IF(K300&lt;&gt;"",K300,N(E300)),0)</f>
        <v>0</v>
      </c>
      <c r="O300" s="42" t="str">
        <f aca="false">IF(ISNUMBER(F300),IF(F300&gt;Lists!$N$6,D300+ROW()/100000,""),"")</f>
        <v/>
      </c>
    </row>
    <row r="301" customFormat="false" ht="27.75" hidden="false" customHeight="true" outlineLevel="0" collapsed="false">
      <c r="A301" s="38"/>
      <c r="B301" s="38"/>
      <c r="C301" s="41"/>
      <c r="D301" s="39"/>
      <c r="E301" s="44"/>
      <c r="F301" s="47" t="str">
        <f aca="true">IF(D301="","",IF(OR(I301="",I301="Sent"),TODAY()-D301,""))</f>
        <v/>
      </c>
      <c r="G301" s="39"/>
      <c r="H301" s="39"/>
      <c r="I301" s="41"/>
      <c r="J301" s="39"/>
      <c r="K301" s="44"/>
      <c r="L301" s="42" t="str">
        <f aca="true">IF(D301="","",IF(AND(OR(I301="Won",I301="Lost"),J301=""),"Add the decision date",IF(I301="Won","Won – book the work in",IF(NOT(OR(I301="",I301="Sent")),"Closed – note why in Notes",IF(G301="",IF(F301&gt;=Lists!$N$6,"Chase now (1st chase)","Wait – 1st chase on "&amp;TEXT(D301+Lists!$N$6,"dd/mm/yyyy")),IF(H301="",IF(TODAY()-G301&gt;=Lists!$N$6,"Chase again (2nd chase)","Wait – 2nd chase on "&amp;TEXT(G301+Lists!$N$6,"dd/mm/yyyy")),"Call them, then mark Won, Lost or Expired"))))))</f>
        <v/>
      </c>
      <c r="M301" s="38"/>
      <c r="N301" s="42" t="n">
        <f aca="false">IF(I301="Won",IF(K301&lt;&gt;"",K301,N(E301)),0)</f>
        <v>0</v>
      </c>
      <c r="O301" s="42" t="str">
        <f aca="false">IF(ISNUMBER(F301),IF(F301&gt;Lists!$N$6,D301+ROW()/100000,""),"")</f>
        <v/>
      </c>
    </row>
    <row r="302" customFormat="false" ht="27.75" hidden="false" customHeight="true" outlineLevel="0" collapsed="false">
      <c r="A302" s="38"/>
      <c r="B302" s="38"/>
      <c r="C302" s="41"/>
      <c r="D302" s="39"/>
      <c r="E302" s="44"/>
      <c r="F302" s="47" t="str">
        <f aca="true">IF(D302="","",IF(OR(I302="",I302="Sent"),TODAY()-D302,""))</f>
        <v/>
      </c>
      <c r="G302" s="39"/>
      <c r="H302" s="39"/>
      <c r="I302" s="41"/>
      <c r="J302" s="39"/>
      <c r="K302" s="44"/>
      <c r="L302" s="42" t="str">
        <f aca="true">IF(D302="","",IF(AND(OR(I302="Won",I302="Lost"),J302=""),"Add the decision date",IF(I302="Won","Won – book the work in",IF(NOT(OR(I302="",I302="Sent")),"Closed – note why in Notes",IF(G302="",IF(F302&gt;=Lists!$N$6,"Chase now (1st chase)","Wait – 1st chase on "&amp;TEXT(D302+Lists!$N$6,"dd/mm/yyyy")),IF(H302="",IF(TODAY()-G302&gt;=Lists!$N$6,"Chase again (2nd chase)","Wait – 2nd chase on "&amp;TEXT(G302+Lists!$N$6,"dd/mm/yyyy")),"Call them, then mark Won, Lost or Expired"))))))</f>
        <v/>
      </c>
      <c r="M302" s="38"/>
      <c r="N302" s="42" t="n">
        <f aca="false">IF(I302="Won",IF(K302&lt;&gt;"",K302,N(E302)),0)</f>
        <v>0</v>
      </c>
      <c r="O302" s="42" t="str">
        <f aca="false">IF(ISNUMBER(F302),IF(F302&gt;Lists!$N$6,D302+ROW()/100000,""),"")</f>
        <v/>
      </c>
    </row>
    <row r="303" customFormat="false" ht="27.75" hidden="false" customHeight="true" outlineLevel="0" collapsed="false">
      <c r="A303" s="38"/>
      <c r="B303" s="38"/>
      <c r="C303" s="41"/>
      <c r="D303" s="39"/>
      <c r="E303" s="44"/>
      <c r="F303" s="47" t="str">
        <f aca="true">IF(D303="","",IF(OR(I303="",I303="Sent"),TODAY()-D303,""))</f>
        <v/>
      </c>
      <c r="G303" s="39"/>
      <c r="H303" s="39"/>
      <c r="I303" s="41"/>
      <c r="J303" s="39"/>
      <c r="K303" s="44"/>
      <c r="L303" s="42" t="str">
        <f aca="true">IF(D303="","",IF(AND(OR(I303="Won",I303="Lost"),J303=""),"Add the decision date",IF(I303="Won","Won – book the work in",IF(NOT(OR(I303="",I303="Sent")),"Closed – note why in Notes",IF(G303="",IF(F303&gt;=Lists!$N$6,"Chase now (1st chase)","Wait – 1st chase on "&amp;TEXT(D303+Lists!$N$6,"dd/mm/yyyy")),IF(H303="",IF(TODAY()-G303&gt;=Lists!$N$6,"Chase again (2nd chase)","Wait – 2nd chase on "&amp;TEXT(G303+Lists!$N$6,"dd/mm/yyyy")),"Call them, then mark Won, Lost or Expired"))))))</f>
        <v/>
      </c>
      <c r="M303" s="38"/>
      <c r="N303" s="42" t="n">
        <f aca="false">IF(I303="Won",IF(K303&lt;&gt;"",K303,N(E303)),0)</f>
        <v>0</v>
      </c>
      <c r="O303" s="42" t="str">
        <f aca="false">IF(ISNUMBER(F303),IF(F303&gt;Lists!$N$6,D303+ROW()/100000,""),"")</f>
        <v/>
      </c>
    </row>
    <row r="304" customFormat="false" ht="27.75" hidden="false" customHeight="true" outlineLevel="0" collapsed="false">
      <c r="A304" s="38"/>
      <c r="B304" s="38"/>
      <c r="C304" s="41"/>
      <c r="D304" s="39"/>
      <c r="E304" s="44"/>
      <c r="F304" s="47" t="str">
        <f aca="true">IF(D304="","",IF(OR(I304="",I304="Sent"),TODAY()-D304,""))</f>
        <v/>
      </c>
      <c r="G304" s="39"/>
      <c r="H304" s="39"/>
      <c r="I304" s="41"/>
      <c r="J304" s="39"/>
      <c r="K304" s="44"/>
      <c r="L304" s="42" t="str">
        <f aca="true">IF(D304="","",IF(AND(OR(I304="Won",I304="Lost"),J304=""),"Add the decision date",IF(I304="Won","Won – book the work in",IF(NOT(OR(I304="",I304="Sent")),"Closed – note why in Notes",IF(G304="",IF(F304&gt;=Lists!$N$6,"Chase now (1st chase)","Wait – 1st chase on "&amp;TEXT(D304+Lists!$N$6,"dd/mm/yyyy")),IF(H304="",IF(TODAY()-G304&gt;=Lists!$N$6,"Chase again (2nd chase)","Wait – 2nd chase on "&amp;TEXT(G304+Lists!$N$6,"dd/mm/yyyy")),"Call them, then mark Won, Lost or Expired"))))))</f>
        <v/>
      </c>
      <c r="M304" s="38"/>
      <c r="N304" s="42" t="n">
        <f aca="false">IF(I304="Won",IF(K304&lt;&gt;"",K304,N(E304)),0)</f>
        <v>0</v>
      </c>
      <c r="O304" s="42" t="str">
        <f aca="false">IF(ISNUMBER(F304),IF(F304&gt;Lists!$N$6,D304+ROW()/100000,""),"")</f>
        <v/>
      </c>
    </row>
    <row r="305" customFormat="false" ht="27.75" hidden="false" customHeight="true" outlineLevel="0" collapsed="false">
      <c r="A305" s="38"/>
      <c r="B305" s="38"/>
      <c r="C305" s="41"/>
      <c r="D305" s="39"/>
      <c r="E305" s="44"/>
      <c r="F305" s="47" t="str">
        <f aca="true">IF(D305="","",IF(OR(I305="",I305="Sent"),TODAY()-D305,""))</f>
        <v/>
      </c>
      <c r="G305" s="39"/>
      <c r="H305" s="39"/>
      <c r="I305" s="41"/>
      <c r="J305" s="39"/>
      <c r="K305" s="44"/>
      <c r="L305" s="42" t="str">
        <f aca="true">IF(D305="","",IF(AND(OR(I305="Won",I305="Lost"),J305=""),"Add the decision date",IF(I305="Won","Won – book the work in",IF(NOT(OR(I305="",I305="Sent")),"Closed – note why in Notes",IF(G305="",IF(F305&gt;=Lists!$N$6,"Chase now (1st chase)","Wait – 1st chase on "&amp;TEXT(D305+Lists!$N$6,"dd/mm/yyyy")),IF(H305="",IF(TODAY()-G305&gt;=Lists!$N$6,"Chase again (2nd chase)","Wait – 2nd chase on "&amp;TEXT(G305+Lists!$N$6,"dd/mm/yyyy")),"Call them, then mark Won, Lost or Expired"))))))</f>
        <v/>
      </c>
      <c r="M305" s="38"/>
      <c r="N305" s="42" t="n">
        <f aca="false">IF(I305="Won",IF(K305&lt;&gt;"",K305,N(E305)),0)</f>
        <v>0</v>
      </c>
      <c r="O305" s="42" t="str">
        <f aca="false">IF(ISNUMBER(F305),IF(F305&gt;Lists!$N$6,D305+ROW()/100000,""),"")</f>
        <v/>
      </c>
    </row>
  </sheetData>
  <sheetProtection sheet="true" formatColumns="false" formatRows="false" sort="false" autoFilter="false"/>
  <autoFilter ref="A4:M305"/>
  <mergeCells count="3">
    <mergeCell ref="A3:E3"/>
    <mergeCell ref="F3:J3"/>
    <mergeCell ref="K3:M3"/>
  </mergeCells>
  <conditionalFormatting sqref="F6:F305">
    <cfRule type="expression" priority="2" aboveAverage="0" equalAverage="0" bottom="0" percent="0" rank="0" text="" dxfId="15">
      <formula>AND(ISNUMBER(F6),F6&gt;Lists!$N$7)</formula>
    </cfRule>
    <cfRule type="expression" priority="3" aboveAverage="0" equalAverage="0" bottom="0" percent="0" rank="0" text="" dxfId="16">
      <formula>AND(ISNUMBER(F6),F6&gt;Lists!$N$6)</formula>
    </cfRule>
  </conditionalFormatting>
  <conditionalFormatting sqref="L6:L305">
    <cfRule type="expression" priority="4" aboveAverage="0" equalAverage="0" bottom="0" percent="0" rank="0" text="" dxfId="3">
      <formula>OR(LEFT(L6,5)="Chase",LEFT(L6,4)="Call",LEFT(L6,3)="Add")</formula>
    </cfRule>
  </conditionalFormatting>
  <conditionalFormatting sqref="A6:M305">
    <cfRule type="expression" priority="5" aboveAverage="0" equalAverage="0" bottom="0" percent="0" rank="0" text="" dxfId="18">
      <formula>$I6="Won"</formula>
    </cfRule>
    <cfRule type="expression" priority="6" aboveAverage="0" equalAverage="0" bottom="0" percent="0" rank="0" text="" dxfId="19">
      <formula>OR($I6="Lost",$I6="Withdrawn",$I6="Expired")</formula>
    </cfRule>
  </conditionalFormatting>
  <dataValidations count="3">
    <dataValidation allowBlank="true" error="Numbers only, no £ sign." errorStyle="stop" operator="greaterThanOrEqual" showDropDown="false" showErrorMessage="true" showInputMessage="false" sqref="E6:E305 K6:K305" type="decimal">
      <formula1>0</formula1>
      <formula2>0</formula2>
    </dataValidation>
    <dataValidation allowBlank="true" error="Enter a date as DD/MM/YYYY." errorStyle="stop" operator="greaterThan" showDropDown="false" showErrorMessage="true" showInputMessage="false" sqref="D6:D305 G6:H305 J6:J305" type="date">
      <formula1>1</formula1>
      <formula2>0</formula2>
    </dataValidation>
    <dataValidation allowBlank="true" errorStyle="stop" operator="between" showDropDown="false" showErrorMessage="false" showInputMessage="false" sqref="I6:I305" type="list">
      <formula1>Lists!$I$2:$I$31</formula1>
      <formula2>0</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6" min="2" style="0" width="9"/>
    <col collapsed="false" customWidth="true" hidden="false" outlineLevel="0" max="7" min="7" style="0" width="12"/>
    <col collapsed="false" customWidth="true" hidden="false" outlineLevel="0" max="8" min="8" style="0" width="10"/>
    <col collapsed="false" customWidth="true" hidden="false" outlineLevel="0" max="11" min="9" style="0" width="9"/>
    <col collapsed="false" customWidth="true" hidden="false" outlineLevel="0" max="14" min="12" style="0" width="12"/>
  </cols>
  <sheetData>
    <row r="1" customFormat="false" ht="22.05" hidden="false" customHeight="false" outlineLevel="0" collapsed="false">
      <c r="A1" s="15" t="str">
        <f>'Start here'!$B$1&amp;" – RESULTS"</f>
        <v>[COMPANY NAME] – RESULTS</v>
      </c>
    </row>
    <row r="2" customFormat="false" ht="15" hidden="false" customHeight="false" outlineLevel="0" collapsed="false">
      <c r="A2" s="16" t="s">
        <v>196</v>
      </c>
    </row>
    <row r="4" customFormat="false" ht="15" hidden="false" customHeight="false" outlineLevel="0" collapsed="false">
      <c r="A4" s="48" t="s">
        <v>197</v>
      </c>
      <c r="B4" s="49" t="n">
        <f aca="true">YEAR(TODAY())</f>
        <v>2026</v>
      </c>
      <c r="C4" s="14" t="s">
        <v>198</v>
      </c>
    </row>
    <row r="6" customFormat="false" ht="21.75" hidden="false" customHeight="true" outlineLevel="0" collapsed="false">
      <c r="A6" s="4" t="s">
        <v>199</v>
      </c>
      <c r="B6" s="5"/>
      <c r="C6" s="5"/>
      <c r="D6" s="5"/>
      <c r="E6" s="5"/>
      <c r="F6" s="5"/>
      <c r="G6" s="5"/>
      <c r="H6" s="5"/>
      <c r="I6" s="5"/>
      <c r="J6" s="5"/>
      <c r="K6" s="5"/>
      <c r="L6" s="5"/>
      <c r="M6" s="5"/>
      <c r="N6" s="5"/>
    </row>
    <row r="7" customFormat="false" ht="43.5" hidden="false" customHeight="true" outlineLevel="0" collapsed="false">
      <c r="A7" s="20" t="s">
        <v>200</v>
      </c>
      <c r="B7" s="20" t="s">
        <v>91</v>
      </c>
      <c r="C7" s="20" t="s">
        <v>92</v>
      </c>
      <c r="D7" s="20" t="s">
        <v>201</v>
      </c>
      <c r="E7" s="20" t="s">
        <v>202</v>
      </c>
      <c r="F7" s="20" t="s">
        <v>203</v>
      </c>
      <c r="G7" s="20" t="s">
        <v>204</v>
      </c>
      <c r="H7" s="20" t="s">
        <v>205</v>
      </c>
      <c r="I7" s="20" t="s">
        <v>206</v>
      </c>
      <c r="J7" s="20" t="s">
        <v>207</v>
      </c>
      <c r="K7" s="20" t="s">
        <v>208</v>
      </c>
      <c r="L7" s="20" t="s">
        <v>209</v>
      </c>
      <c r="M7" s="20" t="s">
        <v>210</v>
      </c>
      <c r="N7" s="20" t="s">
        <v>211</v>
      </c>
    </row>
    <row r="8" customFormat="false" ht="15" hidden="false" customHeight="false" outlineLevel="0" collapsed="false">
      <c r="A8" s="50" t="s">
        <v>212</v>
      </c>
      <c r="B8" s="51" t="n">
        <f aca="false">COUNTIFS(Leads!$B$6:$B$305,"&gt;="&amp;DATE($B$4,1,1),Leads!$B$6:$B$305,"&lt;"&amp;DATE($B$4,2,1))</f>
        <v>0</v>
      </c>
      <c r="C8" s="51" t="n">
        <f aca="false">COUNTIFS(Quotes!$D$6:$D$305,"&gt;="&amp;DATE($B$4,1,1),Quotes!$D$6:$D$305,"&lt;"&amp;DATE($B$4,2,1))</f>
        <v>0</v>
      </c>
      <c r="D8" s="51" t="n">
        <f aca="false">COUNTIFS(Quotes!$I$6:$I$305,"Won",Quotes!$J$6:$J$305,"&gt;="&amp;DATE($B$4,1,1),Quotes!$J$6:$J$305,"&lt;"&amp;DATE($B$4,2,1))</f>
        <v>0</v>
      </c>
      <c r="E8" s="51" t="n">
        <f aca="false">COUNTIFS(Quotes!$I$6:$I$305,"Lost",Quotes!$J$6:$J$305,"&gt;="&amp;DATE($B$4,1,1),Quotes!$J$6:$J$305,"&lt;"&amp;DATE($B$4,2,1))</f>
        <v>0</v>
      </c>
      <c r="F8" s="52" t="str">
        <f aca="false">IF(D8+E8=0,"–",D8/(D8+E8))</f>
        <v>–</v>
      </c>
      <c r="G8" s="53" t="n">
        <f aca="false">SUMIFS(Quotes!$N$6:$N$305,Quotes!$J$6:$J$305,"&gt;="&amp;DATE($B$4,1,1),Quotes!$J$6:$J$305,"&lt;"&amp;DATE($B$4,2,1))</f>
        <v>0</v>
      </c>
      <c r="H8" s="51" t="n">
        <f aca="false">COUNTIFS(Tenders!$M$6:$M$105,"&gt;="&amp;DATE($B$4,1,1),Tenders!$M$6:$M$105,"&lt;"&amp;DATE($B$4,2,1))</f>
        <v>0</v>
      </c>
      <c r="I8" s="51" t="n">
        <f aca="false">COUNTIFS(Tenders!$L$6:$L$105,"Won",Tenders!$N$6:$N$105,"&gt;="&amp;DATE($B$4,1,1),Tenders!$N$6:$N$105,"&lt;"&amp;DATE($B$4,2,1))</f>
        <v>0</v>
      </c>
      <c r="J8" s="51" t="n">
        <f aca="false">COUNTIFS(Tenders!$L$6:$L$105,"Lost",Tenders!$N$6:$N$105,"&gt;="&amp;DATE($B$4,1,1),Tenders!$N$6:$N$105,"&lt;"&amp;DATE($B$4,2,1))</f>
        <v>0</v>
      </c>
      <c r="K8" s="52" t="str">
        <f aca="false">IF(I8+J8=0,"–",I8/(I8+J8))</f>
        <v>–</v>
      </c>
      <c r="L8" s="53" t="n">
        <f aca="false">SUMIFS(Tenders!$E$6:$E$105,Tenders!$L$6:$L$105,"Won",Tenders!$N$6:$N$105,"&gt;="&amp;DATE($B$4,1,1),Tenders!$N$6:$N$105,"&lt;"&amp;DATE($B$4,2,1))</f>
        <v>0</v>
      </c>
      <c r="M8" s="53" t="n">
        <f aca="false">G8+L8</f>
        <v>0</v>
      </c>
      <c r="N8" s="53" t="str">
        <f aca="false">IF(D8+I8=0,"–",M8/(D8+I8))</f>
        <v>–</v>
      </c>
    </row>
    <row r="9" customFormat="false" ht="15" hidden="false" customHeight="false" outlineLevel="0" collapsed="false">
      <c r="A9" s="54" t="s">
        <v>213</v>
      </c>
      <c r="B9" s="55" t="n">
        <f aca="false">COUNTIFS(Leads!$B$6:$B$305,"&gt;="&amp;DATE($B$4,2,1),Leads!$B$6:$B$305,"&lt;"&amp;DATE($B$4,3,1))</f>
        <v>0</v>
      </c>
      <c r="C9" s="55" t="n">
        <f aca="false">COUNTIFS(Quotes!$D$6:$D$305,"&gt;="&amp;DATE($B$4,2,1),Quotes!$D$6:$D$305,"&lt;"&amp;DATE($B$4,3,1))</f>
        <v>0</v>
      </c>
      <c r="D9" s="55" t="n">
        <f aca="false">COUNTIFS(Quotes!$I$6:$I$305,"Won",Quotes!$J$6:$J$305,"&gt;="&amp;DATE($B$4,2,1),Quotes!$J$6:$J$305,"&lt;"&amp;DATE($B$4,3,1))</f>
        <v>0</v>
      </c>
      <c r="E9" s="55" t="n">
        <f aca="false">COUNTIFS(Quotes!$I$6:$I$305,"Lost",Quotes!$J$6:$J$305,"&gt;="&amp;DATE($B$4,2,1),Quotes!$J$6:$J$305,"&lt;"&amp;DATE($B$4,3,1))</f>
        <v>0</v>
      </c>
      <c r="F9" s="56" t="str">
        <f aca="false">IF(D9+E9=0,"–",D9/(D9+E9))</f>
        <v>–</v>
      </c>
      <c r="G9" s="57" t="n">
        <f aca="false">SUMIFS(Quotes!$N$6:$N$305,Quotes!$J$6:$J$305,"&gt;="&amp;DATE($B$4,2,1),Quotes!$J$6:$J$305,"&lt;"&amp;DATE($B$4,3,1))</f>
        <v>0</v>
      </c>
      <c r="H9" s="55" t="n">
        <f aca="false">COUNTIFS(Tenders!$M$6:$M$105,"&gt;="&amp;DATE($B$4,2,1),Tenders!$M$6:$M$105,"&lt;"&amp;DATE($B$4,3,1))</f>
        <v>0</v>
      </c>
      <c r="I9" s="55" t="n">
        <f aca="false">COUNTIFS(Tenders!$L$6:$L$105,"Won",Tenders!$N$6:$N$105,"&gt;="&amp;DATE($B$4,2,1),Tenders!$N$6:$N$105,"&lt;"&amp;DATE($B$4,3,1))</f>
        <v>0</v>
      </c>
      <c r="J9" s="55" t="n">
        <f aca="false">COUNTIFS(Tenders!$L$6:$L$105,"Lost",Tenders!$N$6:$N$105,"&gt;="&amp;DATE($B$4,2,1),Tenders!$N$6:$N$105,"&lt;"&amp;DATE($B$4,3,1))</f>
        <v>0</v>
      </c>
      <c r="K9" s="56" t="str">
        <f aca="false">IF(I9+J9=0,"–",I9/(I9+J9))</f>
        <v>–</v>
      </c>
      <c r="L9" s="57" t="n">
        <f aca="false">SUMIFS(Tenders!$E$6:$E$105,Tenders!$L$6:$L$105,"Won",Tenders!$N$6:$N$105,"&gt;="&amp;DATE($B$4,2,1),Tenders!$N$6:$N$105,"&lt;"&amp;DATE($B$4,3,1))</f>
        <v>0</v>
      </c>
      <c r="M9" s="57" t="n">
        <f aca="false">G9+L9</f>
        <v>0</v>
      </c>
      <c r="N9" s="57" t="str">
        <f aca="false">IF(D9+I9=0,"–",M9/(D9+I9))</f>
        <v>–</v>
      </c>
    </row>
    <row r="10" customFormat="false" ht="15" hidden="false" customHeight="false" outlineLevel="0" collapsed="false">
      <c r="A10" s="50" t="s">
        <v>214</v>
      </c>
      <c r="B10" s="51" t="n">
        <f aca="false">COUNTIFS(Leads!$B$6:$B$305,"&gt;="&amp;DATE($B$4,3,1),Leads!$B$6:$B$305,"&lt;"&amp;DATE($B$4,4,1))</f>
        <v>0</v>
      </c>
      <c r="C10" s="51" t="n">
        <f aca="false">COUNTIFS(Quotes!$D$6:$D$305,"&gt;="&amp;DATE($B$4,3,1),Quotes!$D$6:$D$305,"&lt;"&amp;DATE($B$4,4,1))</f>
        <v>0</v>
      </c>
      <c r="D10" s="51" t="n">
        <f aca="false">COUNTIFS(Quotes!$I$6:$I$305,"Won",Quotes!$J$6:$J$305,"&gt;="&amp;DATE($B$4,3,1),Quotes!$J$6:$J$305,"&lt;"&amp;DATE($B$4,4,1))</f>
        <v>0</v>
      </c>
      <c r="E10" s="51" t="n">
        <f aca="false">COUNTIFS(Quotes!$I$6:$I$305,"Lost",Quotes!$J$6:$J$305,"&gt;="&amp;DATE($B$4,3,1),Quotes!$J$6:$J$305,"&lt;"&amp;DATE($B$4,4,1))</f>
        <v>0</v>
      </c>
      <c r="F10" s="52" t="str">
        <f aca="false">IF(D10+E10=0,"–",D10/(D10+E10))</f>
        <v>–</v>
      </c>
      <c r="G10" s="53" t="n">
        <f aca="false">SUMIFS(Quotes!$N$6:$N$305,Quotes!$J$6:$J$305,"&gt;="&amp;DATE($B$4,3,1),Quotes!$J$6:$J$305,"&lt;"&amp;DATE($B$4,4,1))</f>
        <v>0</v>
      </c>
      <c r="H10" s="51" t="n">
        <f aca="false">COUNTIFS(Tenders!$M$6:$M$105,"&gt;="&amp;DATE($B$4,3,1),Tenders!$M$6:$M$105,"&lt;"&amp;DATE($B$4,4,1))</f>
        <v>0</v>
      </c>
      <c r="I10" s="51" t="n">
        <f aca="false">COUNTIFS(Tenders!$L$6:$L$105,"Won",Tenders!$N$6:$N$105,"&gt;="&amp;DATE($B$4,3,1),Tenders!$N$6:$N$105,"&lt;"&amp;DATE($B$4,4,1))</f>
        <v>0</v>
      </c>
      <c r="J10" s="51" t="n">
        <f aca="false">COUNTIFS(Tenders!$L$6:$L$105,"Lost",Tenders!$N$6:$N$105,"&gt;="&amp;DATE($B$4,3,1),Tenders!$N$6:$N$105,"&lt;"&amp;DATE($B$4,4,1))</f>
        <v>0</v>
      </c>
      <c r="K10" s="52" t="str">
        <f aca="false">IF(I10+J10=0,"–",I10/(I10+J10))</f>
        <v>–</v>
      </c>
      <c r="L10" s="53" t="n">
        <f aca="false">SUMIFS(Tenders!$E$6:$E$105,Tenders!$L$6:$L$105,"Won",Tenders!$N$6:$N$105,"&gt;="&amp;DATE($B$4,3,1),Tenders!$N$6:$N$105,"&lt;"&amp;DATE($B$4,4,1))</f>
        <v>0</v>
      </c>
      <c r="M10" s="53" t="n">
        <f aca="false">G10+L10</f>
        <v>0</v>
      </c>
      <c r="N10" s="53" t="str">
        <f aca="false">IF(D10+I10=0,"–",M10/(D10+I10))</f>
        <v>–</v>
      </c>
    </row>
    <row r="11" customFormat="false" ht="15" hidden="false" customHeight="false" outlineLevel="0" collapsed="false">
      <c r="A11" s="54" t="s">
        <v>215</v>
      </c>
      <c r="B11" s="55" t="n">
        <f aca="false">COUNTIFS(Leads!$B$6:$B$305,"&gt;="&amp;DATE($B$4,4,1),Leads!$B$6:$B$305,"&lt;"&amp;DATE($B$4,5,1))</f>
        <v>0</v>
      </c>
      <c r="C11" s="55" t="n">
        <f aca="false">COUNTIFS(Quotes!$D$6:$D$305,"&gt;="&amp;DATE($B$4,4,1),Quotes!$D$6:$D$305,"&lt;"&amp;DATE($B$4,5,1))</f>
        <v>0</v>
      </c>
      <c r="D11" s="55" t="n">
        <f aca="false">COUNTIFS(Quotes!$I$6:$I$305,"Won",Quotes!$J$6:$J$305,"&gt;="&amp;DATE($B$4,4,1),Quotes!$J$6:$J$305,"&lt;"&amp;DATE($B$4,5,1))</f>
        <v>0</v>
      </c>
      <c r="E11" s="55" t="n">
        <f aca="false">COUNTIFS(Quotes!$I$6:$I$305,"Lost",Quotes!$J$6:$J$305,"&gt;="&amp;DATE($B$4,4,1),Quotes!$J$6:$J$305,"&lt;"&amp;DATE($B$4,5,1))</f>
        <v>0</v>
      </c>
      <c r="F11" s="56" t="str">
        <f aca="false">IF(D11+E11=0,"–",D11/(D11+E11))</f>
        <v>–</v>
      </c>
      <c r="G11" s="57" t="n">
        <f aca="false">SUMIFS(Quotes!$N$6:$N$305,Quotes!$J$6:$J$305,"&gt;="&amp;DATE($B$4,4,1),Quotes!$J$6:$J$305,"&lt;"&amp;DATE($B$4,5,1))</f>
        <v>0</v>
      </c>
      <c r="H11" s="55" t="n">
        <f aca="false">COUNTIFS(Tenders!$M$6:$M$105,"&gt;="&amp;DATE($B$4,4,1),Tenders!$M$6:$M$105,"&lt;"&amp;DATE($B$4,5,1))</f>
        <v>0</v>
      </c>
      <c r="I11" s="55" t="n">
        <f aca="false">COUNTIFS(Tenders!$L$6:$L$105,"Won",Tenders!$N$6:$N$105,"&gt;="&amp;DATE($B$4,4,1),Tenders!$N$6:$N$105,"&lt;"&amp;DATE($B$4,5,1))</f>
        <v>0</v>
      </c>
      <c r="J11" s="55" t="n">
        <f aca="false">COUNTIFS(Tenders!$L$6:$L$105,"Lost",Tenders!$N$6:$N$105,"&gt;="&amp;DATE($B$4,4,1),Tenders!$N$6:$N$105,"&lt;"&amp;DATE($B$4,5,1))</f>
        <v>0</v>
      </c>
      <c r="K11" s="56" t="str">
        <f aca="false">IF(I11+J11=0,"–",I11/(I11+J11))</f>
        <v>–</v>
      </c>
      <c r="L11" s="57" t="n">
        <f aca="false">SUMIFS(Tenders!$E$6:$E$105,Tenders!$L$6:$L$105,"Won",Tenders!$N$6:$N$105,"&gt;="&amp;DATE($B$4,4,1),Tenders!$N$6:$N$105,"&lt;"&amp;DATE($B$4,5,1))</f>
        <v>0</v>
      </c>
      <c r="M11" s="57" t="n">
        <f aca="false">G11+L11</f>
        <v>0</v>
      </c>
      <c r="N11" s="57" t="str">
        <f aca="false">IF(D11+I11=0,"–",M11/(D11+I11))</f>
        <v>–</v>
      </c>
    </row>
    <row r="12" customFormat="false" ht="15" hidden="false" customHeight="false" outlineLevel="0" collapsed="false">
      <c r="A12" s="50" t="s">
        <v>216</v>
      </c>
      <c r="B12" s="51" t="n">
        <f aca="false">COUNTIFS(Leads!$B$6:$B$305,"&gt;="&amp;DATE($B$4,5,1),Leads!$B$6:$B$305,"&lt;"&amp;DATE($B$4,6,1))</f>
        <v>0</v>
      </c>
      <c r="C12" s="51" t="n">
        <f aca="false">COUNTIFS(Quotes!$D$6:$D$305,"&gt;="&amp;DATE($B$4,5,1),Quotes!$D$6:$D$305,"&lt;"&amp;DATE($B$4,6,1))</f>
        <v>0</v>
      </c>
      <c r="D12" s="51" t="n">
        <f aca="false">COUNTIFS(Quotes!$I$6:$I$305,"Won",Quotes!$J$6:$J$305,"&gt;="&amp;DATE($B$4,5,1),Quotes!$J$6:$J$305,"&lt;"&amp;DATE($B$4,6,1))</f>
        <v>0</v>
      </c>
      <c r="E12" s="51" t="n">
        <f aca="false">COUNTIFS(Quotes!$I$6:$I$305,"Lost",Quotes!$J$6:$J$305,"&gt;="&amp;DATE($B$4,5,1),Quotes!$J$6:$J$305,"&lt;"&amp;DATE($B$4,6,1))</f>
        <v>0</v>
      </c>
      <c r="F12" s="52" t="str">
        <f aca="false">IF(D12+E12=0,"–",D12/(D12+E12))</f>
        <v>–</v>
      </c>
      <c r="G12" s="53" t="n">
        <f aca="false">SUMIFS(Quotes!$N$6:$N$305,Quotes!$J$6:$J$305,"&gt;="&amp;DATE($B$4,5,1),Quotes!$J$6:$J$305,"&lt;"&amp;DATE($B$4,6,1))</f>
        <v>0</v>
      </c>
      <c r="H12" s="51" t="n">
        <f aca="false">COUNTIFS(Tenders!$M$6:$M$105,"&gt;="&amp;DATE($B$4,5,1),Tenders!$M$6:$M$105,"&lt;"&amp;DATE($B$4,6,1))</f>
        <v>0</v>
      </c>
      <c r="I12" s="51" t="n">
        <f aca="false">COUNTIFS(Tenders!$L$6:$L$105,"Won",Tenders!$N$6:$N$105,"&gt;="&amp;DATE($B$4,5,1),Tenders!$N$6:$N$105,"&lt;"&amp;DATE($B$4,6,1))</f>
        <v>0</v>
      </c>
      <c r="J12" s="51" t="n">
        <f aca="false">COUNTIFS(Tenders!$L$6:$L$105,"Lost",Tenders!$N$6:$N$105,"&gt;="&amp;DATE($B$4,5,1),Tenders!$N$6:$N$105,"&lt;"&amp;DATE($B$4,6,1))</f>
        <v>0</v>
      </c>
      <c r="K12" s="52" t="str">
        <f aca="false">IF(I12+J12=0,"–",I12/(I12+J12))</f>
        <v>–</v>
      </c>
      <c r="L12" s="53" t="n">
        <f aca="false">SUMIFS(Tenders!$E$6:$E$105,Tenders!$L$6:$L$105,"Won",Tenders!$N$6:$N$105,"&gt;="&amp;DATE($B$4,5,1),Tenders!$N$6:$N$105,"&lt;"&amp;DATE($B$4,6,1))</f>
        <v>0</v>
      </c>
      <c r="M12" s="53" t="n">
        <f aca="false">G12+L12</f>
        <v>0</v>
      </c>
      <c r="N12" s="53" t="str">
        <f aca="false">IF(D12+I12=0,"–",M12/(D12+I12))</f>
        <v>–</v>
      </c>
    </row>
    <row r="13" customFormat="false" ht="15" hidden="false" customHeight="false" outlineLevel="0" collapsed="false">
      <c r="A13" s="54" t="s">
        <v>217</v>
      </c>
      <c r="B13" s="55" t="n">
        <f aca="false">COUNTIFS(Leads!$B$6:$B$305,"&gt;="&amp;DATE($B$4,6,1),Leads!$B$6:$B$305,"&lt;"&amp;DATE($B$4,7,1))</f>
        <v>0</v>
      </c>
      <c r="C13" s="55" t="n">
        <f aca="false">COUNTIFS(Quotes!$D$6:$D$305,"&gt;="&amp;DATE($B$4,6,1),Quotes!$D$6:$D$305,"&lt;"&amp;DATE($B$4,7,1))</f>
        <v>0</v>
      </c>
      <c r="D13" s="55" t="n">
        <f aca="false">COUNTIFS(Quotes!$I$6:$I$305,"Won",Quotes!$J$6:$J$305,"&gt;="&amp;DATE($B$4,6,1),Quotes!$J$6:$J$305,"&lt;"&amp;DATE($B$4,7,1))</f>
        <v>0</v>
      </c>
      <c r="E13" s="55" t="n">
        <f aca="false">COUNTIFS(Quotes!$I$6:$I$305,"Lost",Quotes!$J$6:$J$305,"&gt;="&amp;DATE($B$4,6,1),Quotes!$J$6:$J$305,"&lt;"&amp;DATE($B$4,7,1))</f>
        <v>0</v>
      </c>
      <c r="F13" s="56" t="str">
        <f aca="false">IF(D13+E13=0,"–",D13/(D13+E13))</f>
        <v>–</v>
      </c>
      <c r="G13" s="57" t="n">
        <f aca="false">SUMIFS(Quotes!$N$6:$N$305,Quotes!$J$6:$J$305,"&gt;="&amp;DATE($B$4,6,1),Quotes!$J$6:$J$305,"&lt;"&amp;DATE($B$4,7,1))</f>
        <v>0</v>
      </c>
      <c r="H13" s="55" t="n">
        <f aca="false">COUNTIFS(Tenders!$M$6:$M$105,"&gt;="&amp;DATE($B$4,6,1),Tenders!$M$6:$M$105,"&lt;"&amp;DATE($B$4,7,1))</f>
        <v>0</v>
      </c>
      <c r="I13" s="55" t="n">
        <f aca="false">COUNTIFS(Tenders!$L$6:$L$105,"Won",Tenders!$N$6:$N$105,"&gt;="&amp;DATE($B$4,6,1),Tenders!$N$6:$N$105,"&lt;"&amp;DATE($B$4,7,1))</f>
        <v>0</v>
      </c>
      <c r="J13" s="55" t="n">
        <f aca="false">COUNTIFS(Tenders!$L$6:$L$105,"Lost",Tenders!$N$6:$N$105,"&gt;="&amp;DATE($B$4,6,1),Tenders!$N$6:$N$105,"&lt;"&amp;DATE($B$4,7,1))</f>
        <v>0</v>
      </c>
      <c r="K13" s="56" t="str">
        <f aca="false">IF(I13+J13=0,"–",I13/(I13+J13))</f>
        <v>–</v>
      </c>
      <c r="L13" s="57" t="n">
        <f aca="false">SUMIFS(Tenders!$E$6:$E$105,Tenders!$L$6:$L$105,"Won",Tenders!$N$6:$N$105,"&gt;="&amp;DATE($B$4,6,1),Tenders!$N$6:$N$105,"&lt;"&amp;DATE($B$4,7,1))</f>
        <v>0</v>
      </c>
      <c r="M13" s="57" t="n">
        <f aca="false">G13+L13</f>
        <v>0</v>
      </c>
      <c r="N13" s="57" t="str">
        <f aca="false">IF(D13+I13=0,"–",M13/(D13+I13))</f>
        <v>–</v>
      </c>
    </row>
    <row r="14" customFormat="false" ht="15" hidden="false" customHeight="false" outlineLevel="0" collapsed="false">
      <c r="A14" s="50" t="s">
        <v>218</v>
      </c>
      <c r="B14" s="51" t="n">
        <f aca="false">COUNTIFS(Leads!$B$6:$B$305,"&gt;="&amp;DATE($B$4,7,1),Leads!$B$6:$B$305,"&lt;"&amp;DATE($B$4,8,1))</f>
        <v>0</v>
      </c>
      <c r="C14" s="51" t="n">
        <f aca="false">COUNTIFS(Quotes!$D$6:$D$305,"&gt;="&amp;DATE($B$4,7,1),Quotes!$D$6:$D$305,"&lt;"&amp;DATE($B$4,8,1))</f>
        <v>0</v>
      </c>
      <c r="D14" s="51" t="n">
        <f aca="false">COUNTIFS(Quotes!$I$6:$I$305,"Won",Quotes!$J$6:$J$305,"&gt;="&amp;DATE($B$4,7,1),Quotes!$J$6:$J$305,"&lt;"&amp;DATE($B$4,8,1))</f>
        <v>0</v>
      </c>
      <c r="E14" s="51" t="n">
        <f aca="false">COUNTIFS(Quotes!$I$6:$I$305,"Lost",Quotes!$J$6:$J$305,"&gt;="&amp;DATE($B$4,7,1),Quotes!$J$6:$J$305,"&lt;"&amp;DATE($B$4,8,1))</f>
        <v>0</v>
      </c>
      <c r="F14" s="52" t="str">
        <f aca="false">IF(D14+E14=0,"–",D14/(D14+E14))</f>
        <v>–</v>
      </c>
      <c r="G14" s="53" t="n">
        <f aca="false">SUMIFS(Quotes!$N$6:$N$305,Quotes!$J$6:$J$305,"&gt;="&amp;DATE($B$4,7,1),Quotes!$J$6:$J$305,"&lt;"&amp;DATE($B$4,8,1))</f>
        <v>0</v>
      </c>
      <c r="H14" s="51" t="n">
        <f aca="false">COUNTIFS(Tenders!$M$6:$M$105,"&gt;="&amp;DATE($B$4,7,1),Tenders!$M$6:$M$105,"&lt;"&amp;DATE($B$4,8,1))</f>
        <v>0</v>
      </c>
      <c r="I14" s="51" t="n">
        <f aca="false">COUNTIFS(Tenders!$L$6:$L$105,"Won",Tenders!$N$6:$N$105,"&gt;="&amp;DATE($B$4,7,1),Tenders!$N$6:$N$105,"&lt;"&amp;DATE($B$4,8,1))</f>
        <v>0</v>
      </c>
      <c r="J14" s="51" t="n">
        <f aca="false">COUNTIFS(Tenders!$L$6:$L$105,"Lost",Tenders!$N$6:$N$105,"&gt;="&amp;DATE($B$4,7,1),Tenders!$N$6:$N$105,"&lt;"&amp;DATE($B$4,8,1))</f>
        <v>0</v>
      </c>
      <c r="K14" s="52" t="str">
        <f aca="false">IF(I14+J14=0,"–",I14/(I14+J14))</f>
        <v>–</v>
      </c>
      <c r="L14" s="53" t="n">
        <f aca="false">SUMIFS(Tenders!$E$6:$E$105,Tenders!$L$6:$L$105,"Won",Tenders!$N$6:$N$105,"&gt;="&amp;DATE($B$4,7,1),Tenders!$N$6:$N$105,"&lt;"&amp;DATE($B$4,8,1))</f>
        <v>0</v>
      </c>
      <c r="M14" s="53" t="n">
        <f aca="false">G14+L14</f>
        <v>0</v>
      </c>
      <c r="N14" s="53" t="str">
        <f aca="false">IF(D14+I14=0,"–",M14/(D14+I14))</f>
        <v>–</v>
      </c>
    </row>
    <row r="15" customFormat="false" ht="15" hidden="false" customHeight="false" outlineLevel="0" collapsed="false">
      <c r="A15" s="54" t="s">
        <v>219</v>
      </c>
      <c r="B15" s="55" t="n">
        <f aca="false">COUNTIFS(Leads!$B$6:$B$305,"&gt;="&amp;DATE($B$4,8,1),Leads!$B$6:$B$305,"&lt;"&amp;DATE($B$4,9,1))</f>
        <v>0</v>
      </c>
      <c r="C15" s="55" t="n">
        <f aca="false">COUNTIFS(Quotes!$D$6:$D$305,"&gt;="&amp;DATE($B$4,8,1),Quotes!$D$6:$D$305,"&lt;"&amp;DATE($B$4,9,1))</f>
        <v>0</v>
      </c>
      <c r="D15" s="55" t="n">
        <f aca="false">COUNTIFS(Quotes!$I$6:$I$305,"Won",Quotes!$J$6:$J$305,"&gt;="&amp;DATE($B$4,8,1),Quotes!$J$6:$J$305,"&lt;"&amp;DATE($B$4,9,1))</f>
        <v>0</v>
      </c>
      <c r="E15" s="55" t="n">
        <f aca="false">COUNTIFS(Quotes!$I$6:$I$305,"Lost",Quotes!$J$6:$J$305,"&gt;="&amp;DATE($B$4,8,1),Quotes!$J$6:$J$305,"&lt;"&amp;DATE($B$4,9,1))</f>
        <v>0</v>
      </c>
      <c r="F15" s="56" t="str">
        <f aca="false">IF(D15+E15=0,"–",D15/(D15+E15))</f>
        <v>–</v>
      </c>
      <c r="G15" s="57" t="n">
        <f aca="false">SUMIFS(Quotes!$N$6:$N$305,Quotes!$J$6:$J$305,"&gt;="&amp;DATE($B$4,8,1),Quotes!$J$6:$J$305,"&lt;"&amp;DATE($B$4,9,1))</f>
        <v>0</v>
      </c>
      <c r="H15" s="55" t="n">
        <f aca="false">COUNTIFS(Tenders!$M$6:$M$105,"&gt;="&amp;DATE($B$4,8,1),Tenders!$M$6:$M$105,"&lt;"&amp;DATE($B$4,9,1))</f>
        <v>0</v>
      </c>
      <c r="I15" s="55" t="n">
        <f aca="false">COUNTIFS(Tenders!$L$6:$L$105,"Won",Tenders!$N$6:$N$105,"&gt;="&amp;DATE($B$4,8,1),Tenders!$N$6:$N$105,"&lt;"&amp;DATE($B$4,9,1))</f>
        <v>0</v>
      </c>
      <c r="J15" s="55" t="n">
        <f aca="false">COUNTIFS(Tenders!$L$6:$L$105,"Lost",Tenders!$N$6:$N$105,"&gt;="&amp;DATE($B$4,8,1),Tenders!$N$6:$N$105,"&lt;"&amp;DATE($B$4,9,1))</f>
        <v>0</v>
      </c>
      <c r="K15" s="56" t="str">
        <f aca="false">IF(I15+J15=0,"–",I15/(I15+J15))</f>
        <v>–</v>
      </c>
      <c r="L15" s="57" t="n">
        <f aca="false">SUMIFS(Tenders!$E$6:$E$105,Tenders!$L$6:$L$105,"Won",Tenders!$N$6:$N$105,"&gt;="&amp;DATE($B$4,8,1),Tenders!$N$6:$N$105,"&lt;"&amp;DATE($B$4,9,1))</f>
        <v>0</v>
      </c>
      <c r="M15" s="57" t="n">
        <f aca="false">G15+L15</f>
        <v>0</v>
      </c>
      <c r="N15" s="57" t="str">
        <f aca="false">IF(D15+I15=0,"–",M15/(D15+I15))</f>
        <v>–</v>
      </c>
    </row>
    <row r="16" customFormat="false" ht="15" hidden="false" customHeight="false" outlineLevel="0" collapsed="false">
      <c r="A16" s="50" t="s">
        <v>220</v>
      </c>
      <c r="B16" s="51" t="n">
        <f aca="false">COUNTIFS(Leads!$B$6:$B$305,"&gt;="&amp;DATE($B$4,9,1),Leads!$B$6:$B$305,"&lt;"&amp;DATE($B$4,10,1))</f>
        <v>0</v>
      </c>
      <c r="C16" s="51" t="n">
        <f aca="false">COUNTIFS(Quotes!$D$6:$D$305,"&gt;="&amp;DATE($B$4,9,1),Quotes!$D$6:$D$305,"&lt;"&amp;DATE($B$4,10,1))</f>
        <v>0</v>
      </c>
      <c r="D16" s="51" t="n">
        <f aca="false">COUNTIFS(Quotes!$I$6:$I$305,"Won",Quotes!$J$6:$J$305,"&gt;="&amp;DATE($B$4,9,1),Quotes!$J$6:$J$305,"&lt;"&amp;DATE($B$4,10,1))</f>
        <v>0</v>
      </c>
      <c r="E16" s="51" t="n">
        <f aca="false">COUNTIFS(Quotes!$I$6:$I$305,"Lost",Quotes!$J$6:$J$305,"&gt;="&amp;DATE($B$4,9,1),Quotes!$J$6:$J$305,"&lt;"&amp;DATE($B$4,10,1))</f>
        <v>0</v>
      </c>
      <c r="F16" s="52" t="str">
        <f aca="false">IF(D16+E16=0,"–",D16/(D16+E16))</f>
        <v>–</v>
      </c>
      <c r="G16" s="53" t="n">
        <f aca="false">SUMIFS(Quotes!$N$6:$N$305,Quotes!$J$6:$J$305,"&gt;="&amp;DATE($B$4,9,1),Quotes!$J$6:$J$305,"&lt;"&amp;DATE($B$4,10,1))</f>
        <v>0</v>
      </c>
      <c r="H16" s="51" t="n">
        <f aca="false">COUNTIFS(Tenders!$M$6:$M$105,"&gt;="&amp;DATE($B$4,9,1),Tenders!$M$6:$M$105,"&lt;"&amp;DATE($B$4,10,1))</f>
        <v>0</v>
      </c>
      <c r="I16" s="51" t="n">
        <f aca="false">COUNTIFS(Tenders!$L$6:$L$105,"Won",Tenders!$N$6:$N$105,"&gt;="&amp;DATE($B$4,9,1),Tenders!$N$6:$N$105,"&lt;"&amp;DATE($B$4,10,1))</f>
        <v>0</v>
      </c>
      <c r="J16" s="51" t="n">
        <f aca="false">COUNTIFS(Tenders!$L$6:$L$105,"Lost",Tenders!$N$6:$N$105,"&gt;="&amp;DATE($B$4,9,1),Tenders!$N$6:$N$105,"&lt;"&amp;DATE($B$4,10,1))</f>
        <v>0</v>
      </c>
      <c r="K16" s="52" t="str">
        <f aca="false">IF(I16+J16=0,"–",I16/(I16+J16))</f>
        <v>–</v>
      </c>
      <c r="L16" s="53" t="n">
        <f aca="false">SUMIFS(Tenders!$E$6:$E$105,Tenders!$L$6:$L$105,"Won",Tenders!$N$6:$N$105,"&gt;="&amp;DATE($B$4,9,1),Tenders!$N$6:$N$105,"&lt;"&amp;DATE($B$4,10,1))</f>
        <v>0</v>
      </c>
      <c r="M16" s="53" t="n">
        <f aca="false">G16+L16</f>
        <v>0</v>
      </c>
      <c r="N16" s="53" t="str">
        <f aca="false">IF(D16+I16=0,"–",M16/(D16+I16))</f>
        <v>–</v>
      </c>
    </row>
    <row r="17" customFormat="false" ht="15" hidden="false" customHeight="false" outlineLevel="0" collapsed="false">
      <c r="A17" s="54" t="s">
        <v>221</v>
      </c>
      <c r="B17" s="55" t="n">
        <f aca="false">COUNTIFS(Leads!$B$6:$B$305,"&gt;="&amp;DATE($B$4,10,1),Leads!$B$6:$B$305,"&lt;"&amp;DATE($B$4,11,1))</f>
        <v>0</v>
      </c>
      <c r="C17" s="55" t="n">
        <f aca="false">COUNTIFS(Quotes!$D$6:$D$305,"&gt;="&amp;DATE($B$4,10,1),Quotes!$D$6:$D$305,"&lt;"&amp;DATE($B$4,11,1))</f>
        <v>0</v>
      </c>
      <c r="D17" s="55" t="n">
        <f aca="false">COUNTIFS(Quotes!$I$6:$I$305,"Won",Quotes!$J$6:$J$305,"&gt;="&amp;DATE($B$4,10,1),Quotes!$J$6:$J$305,"&lt;"&amp;DATE($B$4,11,1))</f>
        <v>0</v>
      </c>
      <c r="E17" s="55" t="n">
        <f aca="false">COUNTIFS(Quotes!$I$6:$I$305,"Lost",Quotes!$J$6:$J$305,"&gt;="&amp;DATE($B$4,10,1),Quotes!$J$6:$J$305,"&lt;"&amp;DATE($B$4,11,1))</f>
        <v>0</v>
      </c>
      <c r="F17" s="56" t="str">
        <f aca="false">IF(D17+E17=0,"–",D17/(D17+E17))</f>
        <v>–</v>
      </c>
      <c r="G17" s="57" t="n">
        <f aca="false">SUMIFS(Quotes!$N$6:$N$305,Quotes!$J$6:$J$305,"&gt;="&amp;DATE($B$4,10,1),Quotes!$J$6:$J$305,"&lt;"&amp;DATE($B$4,11,1))</f>
        <v>0</v>
      </c>
      <c r="H17" s="55" t="n">
        <f aca="false">COUNTIFS(Tenders!$M$6:$M$105,"&gt;="&amp;DATE($B$4,10,1),Tenders!$M$6:$M$105,"&lt;"&amp;DATE($B$4,11,1))</f>
        <v>0</v>
      </c>
      <c r="I17" s="55" t="n">
        <f aca="false">COUNTIFS(Tenders!$L$6:$L$105,"Won",Tenders!$N$6:$N$105,"&gt;="&amp;DATE($B$4,10,1),Tenders!$N$6:$N$105,"&lt;"&amp;DATE($B$4,11,1))</f>
        <v>0</v>
      </c>
      <c r="J17" s="55" t="n">
        <f aca="false">COUNTIFS(Tenders!$L$6:$L$105,"Lost",Tenders!$N$6:$N$105,"&gt;="&amp;DATE($B$4,10,1),Tenders!$N$6:$N$105,"&lt;"&amp;DATE($B$4,11,1))</f>
        <v>0</v>
      </c>
      <c r="K17" s="56" t="str">
        <f aca="false">IF(I17+J17=0,"–",I17/(I17+J17))</f>
        <v>–</v>
      </c>
      <c r="L17" s="57" t="n">
        <f aca="false">SUMIFS(Tenders!$E$6:$E$105,Tenders!$L$6:$L$105,"Won",Tenders!$N$6:$N$105,"&gt;="&amp;DATE($B$4,10,1),Tenders!$N$6:$N$105,"&lt;"&amp;DATE($B$4,11,1))</f>
        <v>0</v>
      </c>
      <c r="M17" s="57" t="n">
        <f aca="false">G17+L17</f>
        <v>0</v>
      </c>
      <c r="N17" s="57" t="str">
        <f aca="false">IF(D17+I17=0,"–",M17/(D17+I17))</f>
        <v>–</v>
      </c>
    </row>
    <row r="18" customFormat="false" ht="15" hidden="false" customHeight="false" outlineLevel="0" collapsed="false">
      <c r="A18" s="50" t="s">
        <v>222</v>
      </c>
      <c r="B18" s="51" t="n">
        <f aca="false">COUNTIFS(Leads!$B$6:$B$305,"&gt;="&amp;DATE($B$4,11,1),Leads!$B$6:$B$305,"&lt;"&amp;DATE($B$4,12,1))</f>
        <v>0</v>
      </c>
      <c r="C18" s="51" t="n">
        <f aca="false">COUNTIFS(Quotes!$D$6:$D$305,"&gt;="&amp;DATE($B$4,11,1),Quotes!$D$6:$D$305,"&lt;"&amp;DATE($B$4,12,1))</f>
        <v>0</v>
      </c>
      <c r="D18" s="51" t="n">
        <f aca="false">COUNTIFS(Quotes!$I$6:$I$305,"Won",Quotes!$J$6:$J$305,"&gt;="&amp;DATE($B$4,11,1),Quotes!$J$6:$J$305,"&lt;"&amp;DATE($B$4,12,1))</f>
        <v>0</v>
      </c>
      <c r="E18" s="51" t="n">
        <f aca="false">COUNTIFS(Quotes!$I$6:$I$305,"Lost",Quotes!$J$6:$J$305,"&gt;="&amp;DATE($B$4,11,1),Quotes!$J$6:$J$305,"&lt;"&amp;DATE($B$4,12,1))</f>
        <v>0</v>
      </c>
      <c r="F18" s="52" t="str">
        <f aca="false">IF(D18+E18=0,"–",D18/(D18+E18))</f>
        <v>–</v>
      </c>
      <c r="G18" s="53" t="n">
        <f aca="false">SUMIFS(Quotes!$N$6:$N$305,Quotes!$J$6:$J$305,"&gt;="&amp;DATE($B$4,11,1),Quotes!$J$6:$J$305,"&lt;"&amp;DATE($B$4,12,1))</f>
        <v>0</v>
      </c>
      <c r="H18" s="51" t="n">
        <f aca="false">COUNTIFS(Tenders!$M$6:$M$105,"&gt;="&amp;DATE($B$4,11,1),Tenders!$M$6:$M$105,"&lt;"&amp;DATE($B$4,12,1))</f>
        <v>0</v>
      </c>
      <c r="I18" s="51" t="n">
        <f aca="false">COUNTIFS(Tenders!$L$6:$L$105,"Won",Tenders!$N$6:$N$105,"&gt;="&amp;DATE($B$4,11,1),Tenders!$N$6:$N$105,"&lt;"&amp;DATE($B$4,12,1))</f>
        <v>0</v>
      </c>
      <c r="J18" s="51" t="n">
        <f aca="false">COUNTIFS(Tenders!$L$6:$L$105,"Lost",Tenders!$N$6:$N$105,"&gt;="&amp;DATE($B$4,11,1),Tenders!$N$6:$N$105,"&lt;"&amp;DATE($B$4,12,1))</f>
        <v>0</v>
      </c>
      <c r="K18" s="52" t="str">
        <f aca="false">IF(I18+J18=0,"–",I18/(I18+J18))</f>
        <v>–</v>
      </c>
      <c r="L18" s="53" t="n">
        <f aca="false">SUMIFS(Tenders!$E$6:$E$105,Tenders!$L$6:$L$105,"Won",Tenders!$N$6:$N$105,"&gt;="&amp;DATE($B$4,11,1),Tenders!$N$6:$N$105,"&lt;"&amp;DATE($B$4,12,1))</f>
        <v>0</v>
      </c>
      <c r="M18" s="53" t="n">
        <f aca="false">G18+L18</f>
        <v>0</v>
      </c>
      <c r="N18" s="53" t="str">
        <f aca="false">IF(D18+I18=0,"–",M18/(D18+I18))</f>
        <v>–</v>
      </c>
    </row>
    <row r="19" customFormat="false" ht="15" hidden="false" customHeight="false" outlineLevel="0" collapsed="false">
      <c r="A19" s="54" t="s">
        <v>223</v>
      </c>
      <c r="B19" s="55" t="n">
        <f aca="false">COUNTIFS(Leads!$B$6:$B$305,"&gt;="&amp;DATE($B$4,12,1),Leads!$B$6:$B$305,"&lt;"&amp;DATE($B$4,13,1))</f>
        <v>0</v>
      </c>
      <c r="C19" s="55" t="n">
        <f aca="false">COUNTIFS(Quotes!$D$6:$D$305,"&gt;="&amp;DATE($B$4,12,1),Quotes!$D$6:$D$305,"&lt;"&amp;DATE($B$4,13,1))</f>
        <v>0</v>
      </c>
      <c r="D19" s="55" t="n">
        <f aca="false">COUNTIFS(Quotes!$I$6:$I$305,"Won",Quotes!$J$6:$J$305,"&gt;="&amp;DATE($B$4,12,1),Quotes!$J$6:$J$305,"&lt;"&amp;DATE($B$4,13,1))</f>
        <v>0</v>
      </c>
      <c r="E19" s="55" t="n">
        <f aca="false">COUNTIFS(Quotes!$I$6:$I$305,"Lost",Quotes!$J$6:$J$305,"&gt;="&amp;DATE($B$4,12,1),Quotes!$J$6:$J$305,"&lt;"&amp;DATE($B$4,13,1))</f>
        <v>0</v>
      </c>
      <c r="F19" s="56" t="str">
        <f aca="false">IF(D19+E19=0,"–",D19/(D19+E19))</f>
        <v>–</v>
      </c>
      <c r="G19" s="57" t="n">
        <f aca="false">SUMIFS(Quotes!$N$6:$N$305,Quotes!$J$6:$J$305,"&gt;="&amp;DATE($B$4,12,1),Quotes!$J$6:$J$305,"&lt;"&amp;DATE($B$4,13,1))</f>
        <v>0</v>
      </c>
      <c r="H19" s="55" t="n">
        <f aca="false">COUNTIFS(Tenders!$M$6:$M$105,"&gt;="&amp;DATE($B$4,12,1),Tenders!$M$6:$M$105,"&lt;"&amp;DATE($B$4,13,1))</f>
        <v>0</v>
      </c>
      <c r="I19" s="55" t="n">
        <f aca="false">COUNTIFS(Tenders!$L$6:$L$105,"Won",Tenders!$N$6:$N$105,"&gt;="&amp;DATE($B$4,12,1),Tenders!$N$6:$N$105,"&lt;"&amp;DATE($B$4,13,1))</f>
        <v>0</v>
      </c>
      <c r="J19" s="55" t="n">
        <f aca="false">COUNTIFS(Tenders!$L$6:$L$105,"Lost",Tenders!$N$6:$N$105,"&gt;="&amp;DATE($B$4,12,1),Tenders!$N$6:$N$105,"&lt;"&amp;DATE($B$4,13,1))</f>
        <v>0</v>
      </c>
      <c r="K19" s="56" t="str">
        <f aca="false">IF(I19+J19=0,"–",I19/(I19+J19))</f>
        <v>–</v>
      </c>
      <c r="L19" s="57" t="n">
        <f aca="false">SUMIFS(Tenders!$E$6:$E$105,Tenders!$L$6:$L$105,"Won",Tenders!$N$6:$N$105,"&gt;="&amp;DATE($B$4,12,1),Tenders!$N$6:$N$105,"&lt;"&amp;DATE($B$4,13,1))</f>
        <v>0</v>
      </c>
      <c r="M19" s="57" t="n">
        <f aca="false">G19+L19</f>
        <v>0</v>
      </c>
      <c r="N19" s="57" t="str">
        <f aca="false">IF(D19+I19=0,"–",M19/(D19+I19))</f>
        <v>–</v>
      </c>
    </row>
    <row r="20" customFormat="false" ht="15" hidden="false" customHeight="false" outlineLevel="0" collapsed="false">
      <c r="A20" s="58" t="str">
        <f aca="false">B4&amp;" TOTAL"</f>
        <v>2026 TOTAL</v>
      </c>
      <c r="B20" s="58" t="n">
        <f aca="false">SUM(B8:B19)</f>
        <v>0</v>
      </c>
      <c r="C20" s="58" t="n">
        <f aca="false">SUM(C8:C19)</f>
        <v>0</v>
      </c>
      <c r="D20" s="58" t="n">
        <f aca="false">SUM(D8:D19)</f>
        <v>0</v>
      </c>
      <c r="E20" s="58" t="n">
        <f aca="false">SUM(E8:E19)</f>
        <v>0</v>
      </c>
      <c r="F20" s="59" t="str">
        <f aca="false">IF(D20+E20=0,"–",D20/(D20+E20))</f>
        <v>–</v>
      </c>
      <c r="G20" s="60" t="n">
        <f aca="false">SUM(G8:G19)</f>
        <v>0</v>
      </c>
      <c r="H20" s="58" t="n">
        <f aca="false">SUM(H8:H19)</f>
        <v>0</v>
      </c>
      <c r="I20" s="58" t="n">
        <f aca="false">SUM(I8:I19)</f>
        <v>0</v>
      </c>
      <c r="J20" s="58" t="n">
        <f aca="false">SUM(J8:J19)</f>
        <v>0</v>
      </c>
      <c r="K20" s="59" t="str">
        <f aca="false">IF(I20+J20=0,"–",I20/(I20+J20))</f>
        <v>–</v>
      </c>
      <c r="L20" s="60" t="n">
        <f aca="false">SUM(L8:L19)</f>
        <v>0</v>
      </c>
      <c r="M20" s="60" t="n">
        <f aca="false">SUM(M8:M19)</f>
        <v>0</v>
      </c>
      <c r="N20" s="60" t="str">
        <f aca="false">IF(D20+I20=0,"–",M20/(D20+I20))</f>
        <v>–</v>
      </c>
    </row>
    <row r="21" customFormat="false" ht="25.5" hidden="false" customHeight="true" outlineLevel="0" collapsed="false">
      <c r="A21" s="30" t="s">
        <v>224</v>
      </c>
      <c r="B21" s="30"/>
      <c r="C21" s="30"/>
      <c r="D21" s="30"/>
      <c r="E21" s="30"/>
      <c r="F21" s="30"/>
      <c r="G21" s="30"/>
      <c r="H21" s="30"/>
      <c r="I21" s="30"/>
      <c r="J21" s="30"/>
      <c r="K21" s="30"/>
      <c r="L21" s="30"/>
      <c r="M21" s="30"/>
      <c r="N21" s="30"/>
    </row>
    <row r="39" customFormat="false" ht="21.75" hidden="false" customHeight="true" outlineLevel="0" collapsed="false">
      <c r="A39" s="4" t="str">
        <f aca="false">"BY SECTOR – leads added in "&amp;$B$4</f>
        <v>BY SECTOR – leads added in 2026</v>
      </c>
      <c r="B39" s="5"/>
      <c r="C39" s="5"/>
      <c r="D39" s="5"/>
      <c r="E39" s="5"/>
      <c r="F39" s="5"/>
      <c r="G39" s="5"/>
      <c r="H39" s="5"/>
      <c r="I39" s="5"/>
      <c r="J39" s="5"/>
      <c r="K39" s="5"/>
      <c r="L39" s="5"/>
      <c r="M39" s="5"/>
      <c r="N39" s="5"/>
    </row>
    <row r="40" customFormat="false" ht="30" hidden="false" customHeight="true" outlineLevel="0" collapsed="false">
      <c r="A40" s="61" t="s">
        <v>105</v>
      </c>
      <c r="B40" s="61"/>
      <c r="C40" s="61"/>
      <c r="D40" s="20" t="s">
        <v>225</v>
      </c>
      <c r="E40" s="20" t="s">
        <v>93</v>
      </c>
      <c r="F40" s="20" t="s">
        <v>94</v>
      </c>
      <c r="G40" s="20" t="s">
        <v>226</v>
      </c>
      <c r="H40" s="20" t="s">
        <v>95</v>
      </c>
      <c r="I40" s="61" t="s">
        <v>227</v>
      </c>
      <c r="J40" s="61"/>
      <c r="K40" s="61"/>
      <c r="L40" s="61" t="s">
        <v>210</v>
      </c>
      <c r="M40" s="61"/>
      <c r="N40" s="61"/>
    </row>
    <row r="41" customFormat="false" ht="24" hidden="false" customHeight="true" outlineLevel="0" collapsed="false">
      <c r="A41" s="62" t="str">
        <f aca="false">IF(Lists!$A$2="","",Lists!$A$2)</f>
        <v>Property management</v>
      </c>
      <c r="B41" s="62"/>
      <c r="C41" s="62"/>
      <c r="D41" s="63" t="n">
        <f aca="false">IF($A41="","",COUNTIFS(Leads!$D$6:$D$305,$A41,Leads!$B$6:$B$305,"&gt;="&amp;DATE($B$4,1,1),Leads!$B$6:$B$305,"&lt;"&amp;DATE($B$4+1,1,1)))</f>
        <v>0</v>
      </c>
      <c r="E41" s="63" t="n">
        <f aca="false">IF($A41="","",COUNTIFS(Leads!$D$6:$D$305,$A41,Leads!$B$6:$B$305,"&gt;="&amp;DATE($B$4,1,1),Leads!$B$6:$B$305,"&lt;"&amp;DATE($B$4+1,1,1),Leads!$N$6:$N$305,"Won"))</f>
        <v>0</v>
      </c>
      <c r="F41" s="63" t="n">
        <f aca="false">IF($A41="","",COUNTIFS(Leads!$D$6:$D$305,$A41,Leads!$B$6:$B$305,"&gt;="&amp;DATE($B$4,1,1),Leads!$B$6:$B$305,"&lt;"&amp;DATE($B$4+1,1,1),Leads!$N$6:$N$305,"Lost"))</f>
        <v>0</v>
      </c>
      <c r="G41" s="63" t="n">
        <f aca="false">IF($A41="","",D41-E41-F41)</f>
        <v>0</v>
      </c>
      <c r="H41" s="64" t="str">
        <f aca="false">IF($A41="","",IF(E41+F41=0,"–",E41/(E41+F41)))</f>
        <v>–</v>
      </c>
      <c r="I41" s="65" t="str">
        <f aca="false">IF($A41="","",IFERROR(AVERAGEIFS(Leads!$T$6:$T$305,Leads!$D$6:$D$305,$A41,Leads!$N$6:$N$305,"Won",Leads!$B$6:$B$305,"&gt;="&amp;DATE($B$4,1,1),Leads!$B$6:$B$305,"&lt;"&amp;DATE($B$4+1,1,1)),"–"))</f>
        <v>–</v>
      </c>
      <c r="J41" s="65"/>
      <c r="K41" s="65"/>
      <c r="L41" s="65" t="n">
        <f aca="false">IF($A41="","",SUMIFS(Leads!$T$6:$T$305,Leads!$D$6:$D$305,$A41,Leads!$N$6:$N$305,"Won",Leads!$B$6:$B$305,"&gt;="&amp;DATE($B$4,1,1),Leads!$B$6:$B$305,"&lt;"&amp;DATE($B$4+1,1,1)))</f>
        <v>0</v>
      </c>
      <c r="M41" s="65"/>
      <c r="N41" s="65"/>
    </row>
    <row r="42" customFormat="false" ht="24" hidden="false" customHeight="true" outlineLevel="0" collapsed="false">
      <c r="A42" s="66" t="str">
        <f aca="false">IF(Lists!$A$3="","",Lists!$A$3)</f>
        <v>Facilities management</v>
      </c>
      <c r="B42" s="66"/>
      <c r="C42" s="66"/>
      <c r="D42" s="67" t="n">
        <f aca="false">IF($A42="","",COUNTIFS(Leads!$D$6:$D$305,$A42,Leads!$B$6:$B$305,"&gt;="&amp;DATE($B$4,1,1),Leads!$B$6:$B$305,"&lt;"&amp;DATE($B$4+1,1,1)))</f>
        <v>0</v>
      </c>
      <c r="E42" s="67" t="n">
        <f aca="false">IF($A42="","",COUNTIFS(Leads!$D$6:$D$305,$A42,Leads!$B$6:$B$305,"&gt;="&amp;DATE($B$4,1,1),Leads!$B$6:$B$305,"&lt;"&amp;DATE($B$4+1,1,1),Leads!$N$6:$N$305,"Won"))</f>
        <v>0</v>
      </c>
      <c r="F42" s="67" t="n">
        <f aca="false">IF($A42="","",COUNTIFS(Leads!$D$6:$D$305,$A42,Leads!$B$6:$B$305,"&gt;="&amp;DATE($B$4,1,1),Leads!$B$6:$B$305,"&lt;"&amp;DATE($B$4+1,1,1),Leads!$N$6:$N$305,"Lost"))</f>
        <v>0</v>
      </c>
      <c r="G42" s="67" t="n">
        <f aca="false">IF($A42="","",D42-E42-F42)</f>
        <v>0</v>
      </c>
      <c r="H42" s="68" t="str">
        <f aca="false">IF($A42="","",IF(E42+F42=0,"–",E42/(E42+F42)))</f>
        <v>–</v>
      </c>
      <c r="I42" s="69" t="str">
        <f aca="false">IF($A42="","",IFERROR(AVERAGEIFS(Leads!$T$6:$T$305,Leads!$D$6:$D$305,$A42,Leads!$N$6:$N$305,"Won",Leads!$B$6:$B$305,"&gt;="&amp;DATE($B$4,1,1),Leads!$B$6:$B$305,"&lt;"&amp;DATE($B$4+1,1,1)),"–"))</f>
        <v>–</v>
      </c>
      <c r="J42" s="69"/>
      <c r="K42" s="69"/>
      <c r="L42" s="69" t="n">
        <f aca="false">IF($A42="","",SUMIFS(Leads!$T$6:$T$305,Leads!$D$6:$D$305,$A42,Leads!$N$6:$N$305,"Won",Leads!$B$6:$B$305,"&gt;="&amp;DATE($B$4,1,1),Leads!$B$6:$B$305,"&lt;"&amp;DATE($B$4+1,1,1)))</f>
        <v>0</v>
      </c>
      <c r="M42" s="69"/>
      <c r="N42" s="69"/>
    </row>
    <row r="43" customFormat="false" ht="24" hidden="false" customHeight="true" outlineLevel="0" collapsed="false">
      <c r="A43" s="62" t="str">
        <f aca="false">IF(Lists!$A$4="","",Lists!$A$4)</f>
        <v>Construction and civil engineering</v>
      </c>
      <c r="B43" s="62"/>
      <c r="C43" s="62"/>
      <c r="D43" s="63" t="n">
        <f aca="false">IF($A43="","",COUNTIFS(Leads!$D$6:$D$305,$A43,Leads!$B$6:$B$305,"&gt;="&amp;DATE($B$4,1,1),Leads!$B$6:$B$305,"&lt;"&amp;DATE($B$4+1,1,1)))</f>
        <v>0</v>
      </c>
      <c r="E43" s="63" t="n">
        <f aca="false">IF($A43="","",COUNTIFS(Leads!$D$6:$D$305,$A43,Leads!$B$6:$B$305,"&gt;="&amp;DATE($B$4,1,1),Leads!$B$6:$B$305,"&lt;"&amp;DATE($B$4+1,1,1),Leads!$N$6:$N$305,"Won"))</f>
        <v>0</v>
      </c>
      <c r="F43" s="63" t="n">
        <f aca="false">IF($A43="","",COUNTIFS(Leads!$D$6:$D$305,$A43,Leads!$B$6:$B$305,"&gt;="&amp;DATE($B$4,1,1),Leads!$B$6:$B$305,"&lt;"&amp;DATE($B$4+1,1,1),Leads!$N$6:$N$305,"Lost"))</f>
        <v>0</v>
      </c>
      <c r="G43" s="63" t="n">
        <f aca="false">IF($A43="","",D43-E43-F43)</f>
        <v>0</v>
      </c>
      <c r="H43" s="64" t="str">
        <f aca="false">IF($A43="","",IF(E43+F43=0,"–",E43/(E43+F43)))</f>
        <v>–</v>
      </c>
      <c r="I43" s="65" t="str">
        <f aca="false">IF($A43="","",IFERROR(AVERAGEIFS(Leads!$T$6:$T$305,Leads!$D$6:$D$305,$A43,Leads!$N$6:$N$305,"Won",Leads!$B$6:$B$305,"&gt;="&amp;DATE($B$4,1,1),Leads!$B$6:$B$305,"&lt;"&amp;DATE($B$4+1,1,1)),"–"))</f>
        <v>–</v>
      </c>
      <c r="J43" s="65"/>
      <c r="K43" s="65"/>
      <c r="L43" s="65" t="n">
        <f aca="false">IF($A43="","",SUMIFS(Leads!$T$6:$T$305,Leads!$D$6:$D$305,$A43,Leads!$N$6:$N$305,"Won",Leads!$B$6:$B$305,"&gt;="&amp;DATE($B$4,1,1),Leads!$B$6:$B$305,"&lt;"&amp;DATE($B$4+1,1,1)))</f>
        <v>0</v>
      </c>
      <c r="M43" s="65"/>
      <c r="N43" s="65"/>
    </row>
    <row r="44" customFormat="false" ht="24" hidden="false" customHeight="true" outlineLevel="0" collapsed="false">
      <c r="A44" s="66" t="str">
        <f aca="false">IF(Lists!$A$5="","",Lists!$A$5)</f>
        <v>Housing association</v>
      </c>
      <c r="B44" s="66"/>
      <c r="C44" s="66"/>
      <c r="D44" s="67" t="n">
        <f aca="false">IF($A44="","",COUNTIFS(Leads!$D$6:$D$305,$A44,Leads!$B$6:$B$305,"&gt;="&amp;DATE($B$4,1,1),Leads!$B$6:$B$305,"&lt;"&amp;DATE($B$4+1,1,1)))</f>
        <v>0</v>
      </c>
      <c r="E44" s="67" t="n">
        <f aca="false">IF($A44="","",COUNTIFS(Leads!$D$6:$D$305,$A44,Leads!$B$6:$B$305,"&gt;="&amp;DATE($B$4,1,1),Leads!$B$6:$B$305,"&lt;"&amp;DATE($B$4+1,1,1),Leads!$N$6:$N$305,"Won"))</f>
        <v>0</v>
      </c>
      <c r="F44" s="67" t="n">
        <f aca="false">IF($A44="","",COUNTIFS(Leads!$D$6:$D$305,$A44,Leads!$B$6:$B$305,"&gt;="&amp;DATE($B$4,1,1),Leads!$B$6:$B$305,"&lt;"&amp;DATE($B$4+1,1,1),Leads!$N$6:$N$305,"Lost"))</f>
        <v>0</v>
      </c>
      <c r="G44" s="67" t="n">
        <f aca="false">IF($A44="","",D44-E44-F44)</f>
        <v>0</v>
      </c>
      <c r="H44" s="68" t="str">
        <f aca="false">IF($A44="","",IF(E44+F44=0,"–",E44/(E44+F44)))</f>
        <v>–</v>
      </c>
      <c r="I44" s="69" t="str">
        <f aca="false">IF($A44="","",IFERROR(AVERAGEIFS(Leads!$T$6:$T$305,Leads!$D$6:$D$305,$A44,Leads!$N$6:$N$305,"Won",Leads!$B$6:$B$305,"&gt;="&amp;DATE($B$4,1,1),Leads!$B$6:$B$305,"&lt;"&amp;DATE($B$4+1,1,1)),"–"))</f>
        <v>–</v>
      </c>
      <c r="J44" s="69"/>
      <c r="K44" s="69"/>
      <c r="L44" s="69" t="n">
        <f aca="false">IF($A44="","",SUMIFS(Leads!$T$6:$T$305,Leads!$D$6:$D$305,$A44,Leads!$N$6:$N$305,"Won",Leads!$B$6:$B$305,"&gt;="&amp;DATE($B$4,1,1),Leads!$B$6:$B$305,"&lt;"&amp;DATE($B$4+1,1,1)))</f>
        <v>0</v>
      </c>
      <c r="M44" s="69"/>
      <c r="N44" s="69"/>
    </row>
    <row r="45" customFormat="false" ht="24" hidden="false" customHeight="true" outlineLevel="0" collapsed="false">
      <c r="A45" s="62" t="str">
        <f aca="false">IF(Lists!$A$6="","",Lists!$A$6)</f>
        <v>Local authority</v>
      </c>
      <c r="B45" s="62"/>
      <c r="C45" s="62"/>
      <c r="D45" s="63" t="n">
        <f aca="false">IF($A45="","",COUNTIFS(Leads!$D$6:$D$305,$A45,Leads!$B$6:$B$305,"&gt;="&amp;DATE($B$4,1,1),Leads!$B$6:$B$305,"&lt;"&amp;DATE($B$4+1,1,1)))</f>
        <v>0</v>
      </c>
      <c r="E45" s="63" t="n">
        <f aca="false">IF($A45="","",COUNTIFS(Leads!$D$6:$D$305,$A45,Leads!$B$6:$B$305,"&gt;="&amp;DATE($B$4,1,1),Leads!$B$6:$B$305,"&lt;"&amp;DATE($B$4+1,1,1),Leads!$N$6:$N$305,"Won"))</f>
        <v>0</v>
      </c>
      <c r="F45" s="63" t="n">
        <f aca="false">IF($A45="","",COUNTIFS(Leads!$D$6:$D$305,$A45,Leads!$B$6:$B$305,"&gt;="&amp;DATE($B$4,1,1),Leads!$B$6:$B$305,"&lt;"&amp;DATE($B$4+1,1,1),Leads!$N$6:$N$305,"Lost"))</f>
        <v>0</v>
      </c>
      <c r="G45" s="63" t="n">
        <f aca="false">IF($A45="","",D45-E45-F45)</f>
        <v>0</v>
      </c>
      <c r="H45" s="64" t="str">
        <f aca="false">IF($A45="","",IF(E45+F45=0,"–",E45/(E45+F45)))</f>
        <v>–</v>
      </c>
      <c r="I45" s="65" t="str">
        <f aca="false">IF($A45="","",IFERROR(AVERAGEIFS(Leads!$T$6:$T$305,Leads!$D$6:$D$305,$A45,Leads!$N$6:$N$305,"Won",Leads!$B$6:$B$305,"&gt;="&amp;DATE($B$4,1,1),Leads!$B$6:$B$305,"&lt;"&amp;DATE($B$4+1,1,1)),"–"))</f>
        <v>–</v>
      </c>
      <c r="J45" s="65"/>
      <c r="K45" s="65"/>
      <c r="L45" s="65" t="n">
        <f aca="false">IF($A45="","",SUMIFS(Leads!$T$6:$T$305,Leads!$D$6:$D$305,$A45,Leads!$N$6:$N$305,"Won",Leads!$B$6:$B$305,"&gt;="&amp;DATE($B$4,1,1),Leads!$B$6:$B$305,"&lt;"&amp;DATE($B$4+1,1,1)))</f>
        <v>0</v>
      </c>
      <c r="M45" s="65"/>
      <c r="N45" s="65"/>
    </row>
    <row r="46" customFormat="false" ht="24" hidden="false" customHeight="true" outlineLevel="0" collapsed="false">
      <c r="A46" s="66" t="str">
        <f aca="false">IF(Lists!$A$7="","",Lists!$A$7)</f>
        <v>Parish or town council</v>
      </c>
      <c r="B46" s="66"/>
      <c r="C46" s="66"/>
      <c r="D46" s="67" t="n">
        <f aca="false">IF($A46="","",COUNTIFS(Leads!$D$6:$D$305,$A46,Leads!$B$6:$B$305,"&gt;="&amp;DATE($B$4,1,1),Leads!$B$6:$B$305,"&lt;"&amp;DATE($B$4+1,1,1)))</f>
        <v>0</v>
      </c>
      <c r="E46" s="67" t="n">
        <f aca="false">IF($A46="","",COUNTIFS(Leads!$D$6:$D$305,$A46,Leads!$B$6:$B$305,"&gt;="&amp;DATE($B$4,1,1),Leads!$B$6:$B$305,"&lt;"&amp;DATE($B$4+1,1,1),Leads!$N$6:$N$305,"Won"))</f>
        <v>0</v>
      </c>
      <c r="F46" s="67" t="n">
        <f aca="false">IF($A46="","",COUNTIFS(Leads!$D$6:$D$305,$A46,Leads!$B$6:$B$305,"&gt;="&amp;DATE($B$4,1,1),Leads!$B$6:$B$305,"&lt;"&amp;DATE($B$4+1,1,1),Leads!$N$6:$N$305,"Lost"))</f>
        <v>0</v>
      </c>
      <c r="G46" s="67" t="n">
        <f aca="false">IF($A46="","",D46-E46-F46)</f>
        <v>0</v>
      </c>
      <c r="H46" s="68" t="str">
        <f aca="false">IF($A46="","",IF(E46+F46=0,"–",E46/(E46+F46)))</f>
        <v>–</v>
      </c>
      <c r="I46" s="69" t="str">
        <f aca="false">IF($A46="","",IFERROR(AVERAGEIFS(Leads!$T$6:$T$305,Leads!$D$6:$D$305,$A46,Leads!$N$6:$N$305,"Won",Leads!$B$6:$B$305,"&gt;="&amp;DATE($B$4,1,1),Leads!$B$6:$B$305,"&lt;"&amp;DATE($B$4+1,1,1)),"–"))</f>
        <v>–</v>
      </c>
      <c r="J46" s="69"/>
      <c r="K46" s="69"/>
      <c r="L46" s="69" t="n">
        <f aca="false">IF($A46="","",SUMIFS(Leads!$T$6:$T$305,Leads!$D$6:$D$305,$A46,Leads!$N$6:$N$305,"Won",Leads!$B$6:$B$305,"&gt;="&amp;DATE($B$4,1,1),Leads!$B$6:$B$305,"&lt;"&amp;DATE($B$4+1,1,1)))</f>
        <v>0</v>
      </c>
      <c r="M46" s="69"/>
      <c r="N46" s="69"/>
    </row>
    <row r="47" customFormat="false" ht="24" hidden="false" customHeight="true" outlineLevel="0" collapsed="false">
      <c r="A47" s="62" t="str">
        <f aca="false">IF(Lists!$A$8="","",Lists!$A$8)</f>
        <v>Schools, colleges and universities</v>
      </c>
      <c r="B47" s="62"/>
      <c r="C47" s="62"/>
      <c r="D47" s="63" t="n">
        <f aca="false">IF($A47="","",COUNTIFS(Leads!$D$6:$D$305,$A47,Leads!$B$6:$B$305,"&gt;="&amp;DATE($B$4,1,1),Leads!$B$6:$B$305,"&lt;"&amp;DATE($B$4+1,1,1)))</f>
        <v>0</v>
      </c>
      <c r="E47" s="63" t="n">
        <f aca="false">IF($A47="","",COUNTIFS(Leads!$D$6:$D$305,$A47,Leads!$B$6:$B$305,"&gt;="&amp;DATE($B$4,1,1),Leads!$B$6:$B$305,"&lt;"&amp;DATE($B$4+1,1,1),Leads!$N$6:$N$305,"Won"))</f>
        <v>0</v>
      </c>
      <c r="F47" s="63" t="n">
        <f aca="false">IF($A47="","",COUNTIFS(Leads!$D$6:$D$305,$A47,Leads!$B$6:$B$305,"&gt;="&amp;DATE($B$4,1,1),Leads!$B$6:$B$305,"&lt;"&amp;DATE($B$4+1,1,1),Leads!$N$6:$N$305,"Lost"))</f>
        <v>0</v>
      </c>
      <c r="G47" s="63" t="n">
        <f aca="false">IF($A47="","",D47-E47-F47)</f>
        <v>0</v>
      </c>
      <c r="H47" s="64" t="str">
        <f aca="false">IF($A47="","",IF(E47+F47=0,"–",E47/(E47+F47)))</f>
        <v>–</v>
      </c>
      <c r="I47" s="65" t="str">
        <f aca="false">IF($A47="","",IFERROR(AVERAGEIFS(Leads!$T$6:$T$305,Leads!$D$6:$D$305,$A47,Leads!$N$6:$N$305,"Won",Leads!$B$6:$B$305,"&gt;="&amp;DATE($B$4,1,1),Leads!$B$6:$B$305,"&lt;"&amp;DATE($B$4+1,1,1)),"–"))</f>
        <v>–</v>
      </c>
      <c r="J47" s="65"/>
      <c r="K47" s="65"/>
      <c r="L47" s="65" t="n">
        <f aca="false">IF($A47="","",SUMIFS(Leads!$T$6:$T$305,Leads!$D$6:$D$305,$A47,Leads!$N$6:$N$305,"Won",Leads!$B$6:$B$305,"&gt;="&amp;DATE($B$4,1,1),Leads!$B$6:$B$305,"&lt;"&amp;DATE($B$4+1,1,1)))</f>
        <v>0</v>
      </c>
      <c r="M47" s="65"/>
      <c r="N47" s="65"/>
    </row>
    <row r="48" customFormat="false" ht="24" hidden="false" customHeight="true" outlineLevel="0" collapsed="false">
      <c r="A48" s="66" t="str">
        <f aca="false">IF(Lists!$A$9="","",Lists!$A$9)</f>
        <v>NHS and healthcare</v>
      </c>
      <c r="B48" s="66"/>
      <c r="C48" s="66"/>
      <c r="D48" s="67" t="n">
        <f aca="false">IF($A48="","",COUNTIFS(Leads!$D$6:$D$305,$A48,Leads!$B$6:$B$305,"&gt;="&amp;DATE($B$4,1,1),Leads!$B$6:$B$305,"&lt;"&amp;DATE($B$4+1,1,1)))</f>
        <v>0</v>
      </c>
      <c r="E48" s="67" t="n">
        <f aca="false">IF($A48="","",COUNTIFS(Leads!$D$6:$D$305,$A48,Leads!$B$6:$B$305,"&gt;="&amp;DATE($B$4,1,1),Leads!$B$6:$B$305,"&lt;"&amp;DATE($B$4+1,1,1),Leads!$N$6:$N$305,"Won"))</f>
        <v>0</v>
      </c>
      <c r="F48" s="67" t="n">
        <f aca="false">IF($A48="","",COUNTIFS(Leads!$D$6:$D$305,$A48,Leads!$B$6:$B$305,"&gt;="&amp;DATE($B$4,1,1),Leads!$B$6:$B$305,"&lt;"&amp;DATE($B$4+1,1,1),Leads!$N$6:$N$305,"Lost"))</f>
        <v>0</v>
      </c>
      <c r="G48" s="67" t="n">
        <f aca="false">IF($A48="","",D48-E48-F48)</f>
        <v>0</v>
      </c>
      <c r="H48" s="68" t="str">
        <f aca="false">IF($A48="","",IF(E48+F48=0,"–",E48/(E48+F48)))</f>
        <v>–</v>
      </c>
      <c r="I48" s="69" t="str">
        <f aca="false">IF($A48="","",IFERROR(AVERAGEIFS(Leads!$T$6:$T$305,Leads!$D$6:$D$305,$A48,Leads!$N$6:$N$305,"Won",Leads!$B$6:$B$305,"&gt;="&amp;DATE($B$4,1,1),Leads!$B$6:$B$305,"&lt;"&amp;DATE($B$4+1,1,1)),"–"))</f>
        <v>–</v>
      </c>
      <c r="J48" s="69"/>
      <c r="K48" s="69"/>
      <c r="L48" s="69" t="n">
        <f aca="false">IF($A48="","",SUMIFS(Leads!$T$6:$T$305,Leads!$D$6:$D$305,$A48,Leads!$N$6:$N$305,"Won",Leads!$B$6:$B$305,"&gt;="&amp;DATE($B$4,1,1),Leads!$B$6:$B$305,"&lt;"&amp;DATE($B$4+1,1,1)))</f>
        <v>0</v>
      </c>
      <c r="M48" s="69"/>
      <c r="N48" s="69"/>
    </row>
    <row r="49" customFormat="false" ht="24" hidden="false" customHeight="true" outlineLevel="0" collapsed="false">
      <c r="A49" s="62" t="str">
        <f aca="false">IF(Lists!$A$10="","",Lists!$A$10)</f>
        <v>Utilities and telecoms</v>
      </c>
      <c r="B49" s="62"/>
      <c r="C49" s="62"/>
      <c r="D49" s="63" t="n">
        <f aca="false">IF($A49="","",COUNTIFS(Leads!$D$6:$D$305,$A49,Leads!$B$6:$B$305,"&gt;="&amp;DATE($B$4,1,1),Leads!$B$6:$B$305,"&lt;"&amp;DATE($B$4+1,1,1)))</f>
        <v>0</v>
      </c>
      <c r="E49" s="63" t="n">
        <f aca="false">IF($A49="","",COUNTIFS(Leads!$D$6:$D$305,$A49,Leads!$B$6:$B$305,"&gt;="&amp;DATE($B$4,1,1),Leads!$B$6:$B$305,"&lt;"&amp;DATE($B$4+1,1,1),Leads!$N$6:$N$305,"Won"))</f>
        <v>0</v>
      </c>
      <c r="F49" s="63" t="n">
        <f aca="false">IF($A49="","",COUNTIFS(Leads!$D$6:$D$305,$A49,Leads!$B$6:$B$305,"&gt;="&amp;DATE($B$4,1,1),Leads!$B$6:$B$305,"&lt;"&amp;DATE($B$4+1,1,1),Leads!$N$6:$N$305,"Lost"))</f>
        <v>0</v>
      </c>
      <c r="G49" s="63" t="n">
        <f aca="false">IF($A49="","",D49-E49-F49)</f>
        <v>0</v>
      </c>
      <c r="H49" s="64" t="str">
        <f aca="false">IF($A49="","",IF(E49+F49=0,"–",E49/(E49+F49)))</f>
        <v>–</v>
      </c>
      <c r="I49" s="65" t="str">
        <f aca="false">IF($A49="","",IFERROR(AVERAGEIFS(Leads!$T$6:$T$305,Leads!$D$6:$D$305,$A49,Leads!$N$6:$N$305,"Won",Leads!$B$6:$B$305,"&gt;="&amp;DATE($B$4,1,1),Leads!$B$6:$B$305,"&lt;"&amp;DATE($B$4+1,1,1)),"–"))</f>
        <v>–</v>
      </c>
      <c r="J49" s="65"/>
      <c r="K49" s="65"/>
      <c r="L49" s="65" t="n">
        <f aca="false">IF($A49="","",SUMIFS(Leads!$T$6:$T$305,Leads!$D$6:$D$305,$A49,Leads!$N$6:$N$305,"Won",Leads!$B$6:$B$305,"&gt;="&amp;DATE($B$4,1,1),Leads!$B$6:$B$305,"&lt;"&amp;DATE($B$4+1,1,1)))</f>
        <v>0</v>
      </c>
      <c r="M49" s="65"/>
      <c r="N49" s="65"/>
    </row>
    <row r="50" customFormat="false" ht="24" hidden="false" customHeight="true" outlineLevel="0" collapsed="false">
      <c r="A50" s="66" t="str">
        <f aca="false">IF(Lists!$A$11="","",Lists!$A$11)</f>
        <v>Highways and rail</v>
      </c>
      <c r="B50" s="66"/>
      <c r="C50" s="66"/>
      <c r="D50" s="67" t="n">
        <f aca="false">IF($A50="","",COUNTIFS(Leads!$D$6:$D$305,$A50,Leads!$B$6:$B$305,"&gt;="&amp;DATE($B$4,1,1),Leads!$B$6:$B$305,"&lt;"&amp;DATE($B$4+1,1,1)))</f>
        <v>0</v>
      </c>
      <c r="E50" s="67" t="n">
        <f aca="false">IF($A50="","",COUNTIFS(Leads!$D$6:$D$305,$A50,Leads!$B$6:$B$305,"&gt;="&amp;DATE($B$4,1,1),Leads!$B$6:$B$305,"&lt;"&amp;DATE($B$4+1,1,1),Leads!$N$6:$N$305,"Won"))</f>
        <v>0</v>
      </c>
      <c r="F50" s="67" t="n">
        <f aca="false">IF($A50="","",COUNTIFS(Leads!$D$6:$D$305,$A50,Leads!$B$6:$B$305,"&gt;="&amp;DATE($B$4,1,1),Leads!$B$6:$B$305,"&lt;"&amp;DATE($B$4+1,1,1),Leads!$N$6:$N$305,"Lost"))</f>
        <v>0</v>
      </c>
      <c r="G50" s="67" t="n">
        <f aca="false">IF($A50="","",D50-E50-F50)</f>
        <v>0</v>
      </c>
      <c r="H50" s="68" t="str">
        <f aca="false">IF($A50="","",IF(E50+F50=0,"–",E50/(E50+F50)))</f>
        <v>–</v>
      </c>
      <c r="I50" s="69" t="str">
        <f aca="false">IF($A50="","",IFERROR(AVERAGEIFS(Leads!$T$6:$T$305,Leads!$D$6:$D$305,$A50,Leads!$N$6:$N$305,"Won",Leads!$B$6:$B$305,"&gt;="&amp;DATE($B$4,1,1),Leads!$B$6:$B$305,"&lt;"&amp;DATE($B$4+1,1,1)),"–"))</f>
        <v>–</v>
      </c>
      <c r="J50" s="69"/>
      <c r="K50" s="69"/>
      <c r="L50" s="69" t="n">
        <f aca="false">IF($A50="","",SUMIFS(Leads!$T$6:$T$305,Leads!$D$6:$D$305,$A50,Leads!$N$6:$N$305,"Won",Leads!$B$6:$B$305,"&gt;="&amp;DATE($B$4,1,1),Leads!$B$6:$B$305,"&lt;"&amp;DATE($B$4+1,1,1)))</f>
        <v>0</v>
      </c>
      <c r="M50" s="69"/>
      <c r="N50" s="69"/>
    </row>
    <row r="51" customFormat="false" ht="24" hidden="false" customHeight="true" outlineLevel="0" collapsed="false">
      <c r="A51" s="62" t="str">
        <f aca="false">IF(Lists!$A$12="","",Lists!$A$12)</f>
        <v>Estates, farms and landowners</v>
      </c>
      <c r="B51" s="62"/>
      <c r="C51" s="62"/>
      <c r="D51" s="63" t="n">
        <f aca="false">IF($A51="","",COUNTIFS(Leads!$D$6:$D$305,$A51,Leads!$B$6:$B$305,"&gt;="&amp;DATE($B$4,1,1),Leads!$B$6:$B$305,"&lt;"&amp;DATE($B$4+1,1,1)))</f>
        <v>0</v>
      </c>
      <c r="E51" s="63" t="n">
        <f aca="false">IF($A51="","",COUNTIFS(Leads!$D$6:$D$305,$A51,Leads!$B$6:$B$305,"&gt;="&amp;DATE($B$4,1,1),Leads!$B$6:$B$305,"&lt;"&amp;DATE($B$4+1,1,1),Leads!$N$6:$N$305,"Won"))</f>
        <v>0</v>
      </c>
      <c r="F51" s="63" t="n">
        <f aca="false">IF($A51="","",COUNTIFS(Leads!$D$6:$D$305,$A51,Leads!$B$6:$B$305,"&gt;="&amp;DATE($B$4,1,1),Leads!$B$6:$B$305,"&lt;"&amp;DATE($B$4+1,1,1),Leads!$N$6:$N$305,"Lost"))</f>
        <v>0</v>
      </c>
      <c r="G51" s="63" t="n">
        <f aca="false">IF($A51="","",D51-E51-F51)</f>
        <v>0</v>
      </c>
      <c r="H51" s="64" t="str">
        <f aca="false">IF($A51="","",IF(E51+F51=0,"–",E51/(E51+F51)))</f>
        <v>–</v>
      </c>
      <c r="I51" s="65" t="str">
        <f aca="false">IF($A51="","",IFERROR(AVERAGEIFS(Leads!$T$6:$T$305,Leads!$D$6:$D$305,$A51,Leads!$N$6:$N$305,"Won",Leads!$B$6:$B$305,"&gt;="&amp;DATE($B$4,1,1),Leads!$B$6:$B$305,"&lt;"&amp;DATE($B$4+1,1,1)),"–"))</f>
        <v>–</v>
      </c>
      <c r="J51" s="65"/>
      <c r="K51" s="65"/>
      <c r="L51" s="65" t="n">
        <f aca="false">IF($A51="","",SUMIFS(Leads!$T$6:$T$305,Leads!$D$6:$D$305,$A51,Leads!$N$6:$N$305,"Won",Leads!$B$6:$B$305,"&gt;="&amp;DATE($B$4,1,1),Leads!$B$6:$B$305,"&lt;"&amp;DATE($B$4+1,1,1)))</f>
        <v>0</v>
      </c>
      <c r="M51" s="65"/>
      <c r="N51" s="65"/>
    </row>
    <row r="52" customFormat="false" ht="24" hidden="false" customHeight="true" outlineLevel="0" collapsed="false">
      <c r="A52" s="66" t="str">
        <f aca="false">IF(Lists!$A$13="","",Lists!$A$13)</f>
        <v>Commercial premises (offices, retail, industrial)</v>
      </c>
      <c r="B52" s="66"/>
      <c r="C52" s="66"/>
      <c r="D52" s="67" t="n">
        <f aca="false">IF($A52="","",COUNTIFS(Leads!$D$6:$D$305,$A52,Leads!$B$6:$B$305,"&gt;="&amp;DATE($B$4,1,1),Leads!$B$6:$B$305,"&lt;"&amp;DATE($B$4+1,1,1)))</f>
        <v>0</v>
      </c>
      <c r="E52" s="67" t="n">
        <f aca="false">IF($A52="","",COUNTIFS(Leads!$D$6:$D$305,$A52,Leads!$B$6:$B$305,"&gt;="&amp;DATE($B$4,1,1),Leads!$B$6:$B$305,"&lt;"&amp;DATE($B$4+1,1,1),Leads!$N$6:$N$305,"Won"))</f>
        <v>0</v>
      </c>
      <c r="F52" s="67" t="n">
        <f aca="false">IF($A52="","",COUNTIFS(Leads!$D$6:$D$305,$A52,Leads!$B$6:$B$305,"&gt;="&amp;DATE($B$4,1,1),Leads!$B$6:$B$305,"&lt;"&amp;DATE($B$4+1,1,1),Leads!$N$6:$N$305,"Lost"))</f>
        <v>0</v>
      </c>
      <c r="G52" s="67" t="n">
        <f aca="false">IF($A52="","",D52-E52-F52)</f>
        <v>0</v>
      </c>
      <c r="H52" s="68" t="str">
        <f aca="false">IF($A52="","",IF(E52+F52=0,"–",E52/(E52+F52)))</f>
        <v>–</v>
      </c>
      <c r="I52" s="69" t="str">
        <f aca="false">IF($A52="","",IFERROR(AVERAGEIFS(Leads!$T$6:$T$305,Leads!$D$6:$D$305,$A52,Leads!$N$6:$N$305,"Won",Leads!$B$6:$B$305,"&gt;="&amp;DATE($B$4,1,1),Leads!$B$6:$B$305,"&lt;"&amp;DATE($B$4+1,1,1)),"–"))</f>
        <v>–</v>
      </c>
      <c r="J52" s="69"/>
      <c r="K52" s="69"/>
      <c r="L52" s="69" t="n">
        <f aca="false">IF($A52="","",SUMIFS(Leads!$T$6:$T$305,Leads!$D$6:$D$305,$A52,Leads!$N$6:$N$305,"Won",Leads!$B$6:$B$305,"&gt;="&amp;DATE($B$4,1,1),Leads!$B$6:$B$305,"&lt;"&amp;DATE($B$4+1,1,1)))</f>
        <v>0</v>
      </c>
      <c r="M52" s="69"/>
      <c r="N52" s="69"/>
    </row>
    <row r="53" customFormat="false" ht="24" hidden="false" customHeight="true" outlineLevel="0" collapsed="false">
      <c r="A53" s="62" t="str">
        <f aca="false">IF(Lists!$A$14="","",Lists!$A$14)</f>
        <v>Small business</v>
      </c>
      <c r="B53" s="62"/>
      <c r="C53" s="62"/>
      <c r="D53" s="63" t="n">
        <f aca="false">IF($A53="","",COUNTIFS(Leads!$D$6:$D$305,$A53,Leads!$B$6:$B$305,"&gt;="&amp;DATE($B$4,1,1),Leads!$B$6:$B$305,"&lt;"&amp;DATE($B$4+1,1,1)))</f>
        <v>0</v>
      </c>
      <c r="E53" s="63" t="n">
        <f aca="false">IF($A53="","",COUNTIFS(Leads!$D$6:$D$305,$A53,Leads!$B$6:$B$305,"&gt;="&amp;DATE($B$4,1,1),Leads!$B$6:$B$305,"&lt;"&amp;DATE($B$4+1,1,1),Leads!$N$6:$N$305,"Won"))</f>
        <v>0</v>
      </c>
      <c r="F53" s="63" t="n">
        <f aca="false">IF($A53="","",COUNTIFS(Leads!$D$6:$D$305,$A53,Leads!$B$6:$B$305,"&gt;="&amp;DATE($B$4,1,1),Leads!$B$6:$B$305,"&lt;"&amp;DATE($B$4+1,1,1),Leads!$N$6:$N$305,"Lost"))</f>
        <v>0</v>
      </c>
      <c r="G53" s="63" t="n">
        <f aca="false">IF($A53="","",D53-E53-F53)</f>
        <v>0</v>
      </c>
      <c r="H53" s="64" t="str">
        <f aca="false">IF($A53="","",IF(E53+F53=0,"–",E53/(E53+F53)))</f>
        <v>–</v>
      </c>
      <c r="I53" s="65" t="str">
        <f aca="false">IF($A53="","",IFERROR(AVERAGEIFS(Leads!$T$6:$T$305,Leads!$D$6:$D$305,$A53,Leads!$N$6:$N$305,"Won",Leads!$B$6:$B$305,"&gt;="&amp;DATE($B$4,1,1),Leads!$B$6:$B$305,"&lt;"&amp;DATE($B$4+1,1,1)),"–"))</f>
        <v>–</v>
      </c>
      <c r="J53" s="65"/>
      <c r="K53" s="65"/>
      <c r="L53" s="65" t="n">
        <f aca="false">IF($A53="","",SUMIFS(Leads!$T$6:$T$305,Leads!$D$6:$D$305,$A53,Leads!$N$6:$N$305,"Won",Leads!$B$6:$B$305,"&gt;="&amp;DATE($B$4,1,1),Leads!$B$6:$B$305,"&lt;"&amp;DATE($B$4+1,1,1)))</f>
        <v>0</v>
      </c>
      <c r="M53" s="65"/>
      <c r="N53" s="65"/>
    </row>
    <row r="54" customFormat="false" ht="24" hidden="false" customHeight="true" outlineLevel="0" collapsed="false">
      <c r="A54" s="66" t="str">
        <f aca="false">IF(Lists!$A$15="","",Lists!$A$15)</f>
        <v>Charities, churches and community groups</v>
      </c>
      <c r="B54" s="66"/>
      <c r="C54" s="66"/>
      <c r="D54" s="67" t="n">
        <f aca="false">IF($A54="","",COUNTIFS(Leads!$D$6:$D$305,$A54,Leads!$B$6:$B$305,"&gt;="&amp;DATE($B$4,1,1),Leads!$B$6:$B$305,"&lt;"&amp;DATE($B$4+1,1,1)))</f>
        <v>0</v>
      </c>
      <c r="E54" s="67" t="n">
        <f aca="false">IF($A54="","",COUNTIFS(Leads!$D$6:$D$305,$A54,Leads!$B$6:$B$305,"&gt;="&amp;DATE($B$4,1,1),Leads!$B$6:$B$305,"&lt;"&amp;DATE($B$4+1,1,1),Leads!$N$6:$N$305,"Won"))</f>
        <v>0</v>
      </c>
      <c r="F54" s="67" t="n">
        <f aca="false">IF($A54="","",COUNTIFS(Leads!$D$6:$D$305,$A54,Leads!$B$6:$B$305,"&gt;="&amp;DATE($B$4,1,1),Leads!$B$6:$B$305,"&lt;"&amp;DATE($B$4+1,1,1),Leads!$N$6:$N$305,"Lost"))</f>
        <v>0</v>
      </c>
      <c r="G54" s="67" t="n">
        <f aca="false">IF($A54="","",D54-E54-F54)</f>
        <v>0</v>
      </c>
      <c r="H54" s="68" t="str">
        <f aca="false">IF($A54="","",IF(E54+F54=0,"–",E54/(E54+F54)))</f>
        <v>–</v>
      </c>
      <c r="I54" s="69" t="str">
        <f aca="false">IF($A54="","",IFERROR(AVERAGEIFS(Leads!$T$6:$T$305,Leads!$D$6:$D$305,$A54,Leads!$N$6:$N$305,"Won",Leads!$B$6:$B$305,"&gt;="&amp;DATE($B$4,1,1),Leads!$B$6:$B$305,"&lt;"&amp;DATE($B$4+1,1,1)),"–"))</f>
        <v>–</v>
      </c>
      <c r="J54" s="69"/>
      <c r="K54" s="69"/>
      <c r="L54" s="69" t="n">
        <f aca="false">IF($A54="","",SUMIFS(Leads!$T$6:$T$305,Leads!$D$6:$D$305,$A54,Leads!$N$6:$N$305,"Won",Leads!$B$6:$B$305,"&gt;="&amp;DATE($B$4,1,1),Leads!$B$6:$B$305,"&lt;"&amp;DATE($B$4+1,1,1)))</f>
        <v>0</v>
      </c>
      <c r="M54" s="69"/>
      <c r="N54" s="69"/>
    </row>
    <row r="55" customFormat="false" ht="24" hidden="false" customHeight="true" outlineLevel="0" collapsed="false">
      <c r="A55" s="62" t="str">
        <f aca="false">IF(Lists!$A$16="","",Lists!$A$16)</f>
        <v>Domestic</v>
      </c>
      <c r="B55" s="62"/>
      <c r="C55" s="62"/>
      <c r="D55" s="63" t="n">
        <f aca="false">IF($A55="","",COUNTIFS(Leads!$D$6:$D$305,$A55,Leads!$B$6:$B$305,"&gt;="&amp;DATE($B$4,1,1),Leads!$B$6:$B$305,"&lt;"&amp;DATE($B$4+1,1,1)))</f>
        <v>0</v>
      </c>
      <c r="E55" s="63" t="n">
        <f aca="false">IF($A55="","",COUNTIFS(Leads!$D$6:$D$305,$A55,Leads!$B$6:$B$305,"&gt;="&amp;DATE($B$4,1,1),Leads!$B$6:$B$305,"&lt;"&amp;DATE($B$4+1,1,1),Leads!$N$6:$N$305,"Won"))</f>
        <v>0</v>
      </c>
      <c r="F55" s="63" t="n">
        <f aca="false">IF($A55="","",COUNTIFS(Leads!$D$6:$D$305,$A55,Leads!$B$6:$B$305,"&gt;="&amp;DATE($B$4,1,1),Leads!$B$6:$B$305,"&lt;"&amp;DATE($B$4+1,1,1),Leads!$N$6:$N$305,"Lost"))</f>
        <v>0</v>
      </c>
      <c r="G55" s="63" t="n">
        <f aca="false">IF($A55="","",D55-E55-F55)</f>
        <v>0</v>
      </c>
      <c r="H55" s="64" t="str">
        <f aca="false">IF($A55="","",IF(E55+F55=0,"–",E55/(E55+F55)))</f>
        <v>–</v>
      </c>
      <c r="I55" s="65" t="str">
        <f aca="false">IF($A55="","",IFERROR(AVERAGEIFS(Leads!$T$6:$T$305,Leads!$D$6:$D$305,$A55,Leads!$N$6:$N$305,"Won",Leads!$B$6:$B$305,"&gt;="&amp;DATE($B$4,1,1),Leads!$B$6:$B$305,"&lt;"&amp;DATE($B$4+1,1,1)),"–"))</f>
        <v>–</v>
      </c>
      <c r="J55" s="65"/>
      <c r="K55" s="65"/>
      <c r="L55" s="65" t="n">
        <f aca="false">IF($A55="","",SUMIFS(Leads!$T$6:$T$305,Leads!$D$6:$D$305,$A55,Leads!$N$6:$N$305,"Won",Leads!$B$6:$B$305,"&gt;="&amp;DATE($B$4,1,1),Leads!$B$6:$B$305,"&lt;"&amp;DATE($B$4+1,1,1)))</f>
        <v>0</v>
      </c>
      <c r="M55" s="65"/>
      <c r="N55" s="65"/>
    </row>
    <row r="56" customFormat="false" ht="24" hidden="false" customHeight="true" outlineLevel="0" collapsed="false">
      <c r="A56" s="66" t="str">
        <f aca="false">IF(Lists!$A$17="","",Lists!$A$17)</f>
        <v>Other</v>
      </c>
      <c r="B56" s="66"/>
      <c r="C56" s="66"/>
      <c r="D56" s="67" t="n">
        <f aca="false">IF($A56="","",COUNTIFS(Leads!$D$6:$D$305,$A56,Leads!$B$6:$B$305,"&gt;="&amp;DATE($B$4,1,1),Leads!$B$6:$B$305,"&lt;"&amp;DATE($B$4+1,1,1)))</f>
        <v>0</v>
      </c>
      <c r="E56" s="67" t="n">
        <f aca="false">IF($A56="","",COUNTIFS(Leads!$D$6:$D$305,$A56,Leads!$B$6:$B$305,"&gt;="&amp;DATE($B$4,1,1),Leads!$B$6:$B$305,"&lt;"&amp;DATE($B$4+1,1,1),Leads!$N$6:$N$305,"Won"))</f>
        <v>0</v>
      </c>
      <c r="F56" s="67" t="n">
        <f aca="false">IF($A56="","",COUNTIFS(Leads!$D$6:$D$305,$A56,Leads!$B$6:$B$305,"&gt;="&amp;DATE($B$4,1,1),Leads!$B$6:$B$305,"&lt;"&amp;DATE($B$4+1,1,1),Leads!$N$6:$N$305,"Lost"))</f>
        <v>0</v>
      </c>
      <c r="G56" s="67" t="n">
        <f aca="false">IF($A56="","",D56-E56-F56)</f>
        <v>0</v>
      </c>
      <c r="H56" s="68" t="str">
        <f aca="false">IF($A56="","",IF(E56+F56=0,"–",E56/(E56+F56)))</f>
        <v>–</v>
      </c>
      <c r="I56" s="69" t="str">
        <f aca="false">IF($A56="","",IFERROR(AVERAGEIFS(Leads!$T$6:$T$305,Leads!$D$6:$D$305,$A56,Leads!$N$6:$N$305,"Won",Leads!$B$6:$B$305,"&gt;="&amp;DATE($B$4,1,1),Leads!$B$6:$B$305,"&lt;"&amp;DATE($B$4+1,1,1)),"–"))</f>
        <v>–</v>
      </c>
      <c r="J56" s="69"/>
      <c r="K56" s="69"/>
      <c r="L56" s="69" t="n">
        <f aca="false">IF($A56="","",SUMIFS(Leads!$T$6:$T$305,Leads!$D$6:$D$305,$A56,Leads!$N$6:$N$305,"Won",Leads!$B$6:$B$305,"&gt;="&amp;DATE($B$4,1,1),Leads!$B$6:$B$305,"&lt;"&amp;DATE($B$4+1,1,1)))</f>
        <v>0</v>
      </c>
      <c r="M56" s="69"/>
      <c r="N56" s="69"/>
    </row>
    <row r="57" customFormat="false" ht="24" hidden="false" customHeight="true" outlineLevel="0" collapsed="false">
      <c r="A57" s="62" t="str">
        <f aca="false">IF(Lists!$A$18="","",Lists!$A$18)</f>
        <v/>
      </c>
      <c r="B57" s="62"/>
      <c r="C57" s="62"/>
      <c r="D57" s="63" t="str">
        <f aca="false">IF($A57="","",COUNTIFS(Leads!$D$6:$D$305,$A57,Leads!$B$6:$B$305,"&gt;="&amp;DATE($B$4,1,1),Leads!$B$6:$B$305,"&lt;"&amp;DATE($B$4+1,1,1)))</f>
        <v/>
      </c>
      <c r="E57" s="63" t="str">
        <f aca="false">IF($A57="","",COUNTIFS(Leads!$D$6:$D$305,$A57,Leads!$B$6:$B$305,"&gt;="&amp;DATE($B$4,1,1),Leads!$B$6:$B$305,"&lt;"&amp;DATE($B$4+1,1,1),Leads!$N$6:$N$305,"Won"))</f>
        <v/>
      </c>
      <c r="F57" s="63" t="str">
        <f aca="false">IF($A57="","",COUNTIFS(Leads!$D$6:$D$305,$A57,Leads!$B$6:$B$305,"&gt;="&amp;DATE($B$4,1,1),Leads!$B$6:$B$305,"&lt;"&amp;DATE($B$4+1,1,1),Leads!$N$6:$N$305,"Lost"))</f>
        <v/>
      </c>
      <c r="G57" s="63" t="str">
        <f aca="false">IF($A57="","",D57-E57-F57)</f>
        <v/>
      </c>
      <c r="H57" s="64" t="str">
        <f aca="false">IF($A57="","",IF(E57+F57=0,"–",E57/(E57+F57)))</f>
        <v/>
      </c>
      <c r="I57" s="65" t="str">
        <f aca="false">IF($A57="","",IFERROR(AVERAGEIFS(Leads!$T$6:$T$305,Leads!$D$6:$D$305,$A57,Leads!$N$6:$N$305,"Won",Leads!$B$6:$B$305,"&gt;="&amp;DATE($B$4,1,1),Leads!$B$6:$B$305,"&lt;"&amp;DATE($B$4+1,1,1)),"–"))</f>
        <v/>
      </c>
      <c r="J57" s="65"/>
      <c r="K57" s="65"/>
      <c r="L57" s="65" t="str">
        <f aca="false">IF($A57="","",SUMIFS(Leads!$T$6:$T$305,Leads!$D$6:$D$305,$A57,Leads!$N$6:$N$305,"Won",Leads!$B$6:$B$305,"&gt;="&amp;DATE($B$4,1,1),Leads!$B$6:$B$305,"&lt;"&amp;DATE($B$4+1,1,1)))</f>
        <v/>
      </c>
      <c r="M57" s="65"/>
      <c r="N57" s="65"/>
    </row>
    <row r="58" customFormat="false" ht="24" hidden="false" customHeight="true" outlineLevel="0" collapsed="false">
      <c r="A58" s="66" t="str">
        <f aca="false">IF(Lists!$A$19="","",Lists!$A$19)</f>
        <v/>
      </c>
      <c r="B58" s="66"/>
      <c r="C58" s="66"/>
      <c r="D58" s="67" t="str">
        <f aca="false">IF($A58="","",COUNTIFS(Leads!$D$6:$D$305,$A58,Leads!$B$6:$B$305,"&gt;="&amp;DATE($B$4,1,1),Leads!$B$6:$B$305,"&lt;"&amp;DATE($B$4+1,1,1)))</f>
        <v/>
      </c>
      <c r="E58" s="67" t="str">
        <f aca="false">IF($A58="","",COUNTIFS(Leads!$D$6:$D$305,$A58,Leads!$B$6:$B$305,"&gt;="&amp;DATE($B$4,1,1),Leads!$B$6:$B$305,"&lt;"&amp;DATE($B$4+1,1,1),Leads!$N$6:$N$305,"Won"))</f>
        <v/>
      </c>
      <c r="F58" s="67" t="str">
        <f aca="false">IF($A58="","",COUNTIFS(Leads!$D$6:$D$305,$A58,Leads!$B$6:$B$305,"&gt;="&amp;DATE($B$4,1,1),Leads!$B$6:$B$305,"&lt;"&amp;DATE($B$4+1,1,1),Leads!$N$6:$N$305,"Lost"))</f>
        <v/>
      </c>
      <c r="G58" s="67" t="str">
        <f aca="false">IF($A58="","",D58-E58-F58)</f>
        <v/>
      </c>
      <c r="H58" s="68" t="str">
        <f aca="false">IF($A58="","",IF(E58+F58=0,"–",E58/(E58+F58)))</f>
        <v/>
      </c>
      <c r="I58" s="69" t="str">
        <f aca="false">IF($A58="","",IFERROR(AVERAGEIFS(Leads!$T$6:$T$305,Leads!$D$6:$D$305,$A58,Leads!$N$6:$N$305,"Won",Leads!$B$6:$B$305,"&gt;="&amp;DATE($B$4,1,1),Leads!$B$6:$B$305,"&lt;"&amp;DATE($B$4+1,1,1)),"–"))</f>
        <v/>
      </c>
      <c r="J58" s="69"/>
      <c r="K58" s="69"/>
      <c r="L58" s="69" t="str">
        <f aca="false">IF($A58="","",SUMIFS(Leads!$T$6:$T$305,Leads!$D$6:$D$305,$A58,Leads!$N$6:$N$305,"Won",Leads!$B$6:$B$305,"&gt;="&amp;DATE($B$4,1,1),Leads!$B$6:$B$305,"&lt;"&amp;DATE($B$4+1,1,1)))</f>
        <v/>
      </c>
      <c r="M58" s="69"/>
      <c r="N58" s="69"/>
    </row>
    <row r="59" customFormat="false" ht="24" hidden="false" customHeight="true" outlineLevel="0" collapsed="false">
      <c r="A59" s="62" t="str">
        <f aca="false">IF(Lists!$A$20="","",Lists!$A$20)</f>
        <v/>
      </c>
      <c r="B59" s="62"/>
      <c r="C59" s="62"/>
      <c r="D59" s="63" t="str">
        <f aca="false">IF($A59="","",COUNTIFS(Leads!$D$6:$D$305,$A59,Leads!$B$6:$B$305,"&gt;="&amp;DATE($B$4,1,1),Leads!$B$6:$B$305,"&lt;"&amp;DATE($B$4+1,1,1)))</f>
        <v/>
      </c>
      <c r="E59" s="63" t="str">
        <f aca="false">IF($A59="","",COUNTIFS(Leads!$D$6:$D$305,$A59,Leads!$B$6:$B$305,"&gt;="&amp;DATE($B$4,1,1),Leads!$B$6:$B$305,"&lt;"&amp;DATE($B$4+1,1,1),Leads!$N$6:$N$305,"Won"))</f>
        <v/>
      </c>
      <c r="F59" s="63" t="str">
        <f aca="false">IF($A59="","",COUNTIFS(Leads!$D$6:$D$305,$A59,Leads!$B$6:$B$305,"&gt;="&amp;DATE($B$4,1,1),Leads!$B$6:$B$305,"&lt;"&amp;DATE($B$4+1,1,1),Leads!$N$6:$N$305,"Lost"))</f>
        <v/>
      </c>
      <c r="G59" s="63" t="str">
        <f aca="false">IF($A59="","",D59-E59-F59)</f>
        <v/>
      </c>
      <c r="H59" s="64" t="str">
        <f aca="false">IF($A59="","",IF(E59+F59=0,"–",E59/(E59+F59)))</f>
        <v/>
      </c>
      <c r="I59" s="65" t="str">
        <f aca="false">IF($A59="","",IFERROR(AVERAGEIFS(Leads!$T$6:$T$305,Leads!$D$6:$D$305,$A59,Leads!$N$6:$N$305,"Won",Leads!$B$6:$B$305,"&gt;="&amp;DATE($B$4,1,1),Leads!$B$6:$B$305,"&lt;"&amp;DATE($B$4+1,1,1)),"–"))</f>
        <v/>
      </c>
      <c r="J59" s="65"/>
      <c r="K59" s="65"/>
      <c r="L59" s="65" t="str">
        <f aca="false">IF($A59="","",SUMIFS(Leads!$T$6:$T$305,Leads!$D$6:$D$305,$A59,Leads!$N$6:$N$305,"Won",Leads!$B$6:$B$305,"&gt;="&amp;DATE($B$4,1,1),Leads!$B$6:$B$305,"&lt;"&amp;DATE($B$4+1,1,1)))</f>
        <v/>
      </c>
      <c r="M59" s="65"/>
      <c r="N59" s="65"/>
    </row>
    <row r="60" customFormat="false" ht="24" hidden="false" customHeight="true" outlineLevel="0" collapsed="false">
      <c r="A60" s="66" t="str">
        <f aca="false">IF(Lists!$A$21="","",Lists!$A$21)</f>
        <v/>
      </c>
      <c r="B60" s="66"/>
      <c r="C60" s="66"/>
      <c r="D60" s="67" t="str">
        <f aca="false">IF($A60="","",COUNTIFS(Leads!$D$6:$D$305,$A60,Leads!$B$6:$B$305,"&gt;="&amp;DATE($B$4,1,1),Leads!$B$6:$B$305,"&lt;"&amp;DATE($B$4+1,1,1)))</f>
        <v/>
      </c>
      <c r="E60" s="67" t="str">
        <f aca="false">IF($A60="","",COUNTIFS(Leads!$D$6:$D$305,$A60,Leads!$B$6:$B$305,"&gt;="&amp;DATE($B$4,1,1),Leads!$B$6:$B$305,"&lt;"&amp;DATE($B$4+1,1,1),Leads!$N$6:$N$305,"Won"))</f>
        <v/>
      </c>
      <c r="F60" s="67" t="str">
        <f aca="false">IF($A60="","",COUNTIFS(Leads!$D$6:$D$305,$A60,Leads!$B$6:$B$305,"&gt;="&amp;DATE($B$4,1,1),Leads!$B$6:$B$305,"&lt;"&amp;DATE($B$4+1,1,1),Leads!$N$6:$N$305,"Lost"))</f>
        <v/>
      </c>
      <c r="G60" s="67" t="str">
        <f aca="false">IF($A60="","",D60-E60-F60)</f>
        <v/>
      </c>
      <c r="H60" s="68" t="str">
        <f aca="false">IF($A60="","",IF(E60+F60=0,"–",E60/(E60+F60)))</f>
        <v/>
      </c>
      <c r="I60" s="69" t="str">
        <f aca="false">IF($A60="","",IFERROR(AVERAGEIFS(Leads!$T$6:$T$305,Leads!$D$6:$D$305,$A60,Leads!$N$6:$N$305,"Won",Leads!$B$6:$B$305,"&gt;="&amp;DATE($B$4,1,1),Leads!$B$6:$B$305,"&lt;"&amp;DATE($B$4+1,1,1)),"–"))</f>
        <v/>
      </c>
      <c r="J60" s="69"/>
      <c r="K60" s="69"/>
      <c r="L60" s="69" t="str">
        <f aca="false">IF($A60="","",SUMIFS(Leads!$T$6:$T$305,Leads!$D$6:$D$305,$A60,Leads!$N$6:$N$305,"Won",Leads!$B$6:$B$305,"&gt;="&amp;DATE($B$4,1,1),Leads!$B$6:$B$305,"&lt;"&amp;DATE($B$4+1,1,1)))</f>
        <v/>
      </c>
      <c r="M60" s="69"/>
      <c r="N60" s="69"/>
    </row>
    <row r="61" customFormat="false" ht="24" hidden="false" customHeight="true" outlineLevel="0" collapsed="false">
      <c r="A61" s="62" t="str">
        <f aca="false">IF(Lists!$A$22="","",Lists!$A$22)</f>
        <v/>
      </c>
      <c r="B61" s="62"/>
      <c r="C61" s="62"/>
      <c r="D61" s="63" t="str">
        <f aca="false">IF($A61="","",COUNTIFS(Leads!$D$6:$D$305,$A61,Leads!$B$6:$B$305,"&gt;="&amp;DATE($B$4,1,1),Leads!$B$6:$B$305,"&lt;"&amp;DATE($B$4+1,1,1)))</f>
        <v/>
      </c>
      <c r="E61" s="63" t="str">
        <f aca="false">IF($A61="","",COUNTIFS(Leads!$D$6:$D$305,$A61,Leads!$B$6:$B$305,"&gt;="&amp;DATE($B$4,1,1),Leads!$B$6:$B$305,"&lt;"&amp;DATE($B$4+1,1,1),Leads!$N$6:$N$305,"Won"))</f>
        <v/>
      </c>
      <c r="F61" s="63" t="str">
        <f aca="false">IF($A61="","",COUNTIFS(Leads!$D$6:$D$305,$A61,Leads!$B$6:$B$305,"&gt;="&amp;DATE($B$4,1,1),Leads!$B$6:$B$305,"&lt;"&amp;DATE($B$4+1,1,1),Leads!$N$6:$N$305,"Lost"))</f>
        <v/>
      </c>
      <c r="G61" s="63" t="str">
        <f aca="false">IF($A61="","",D61-E61-F61)</f>
        <v/>
      </c>
      <c r="H61" s="64" t="str">
        <f aca="false">IF($A61="","",IF(E61+F61=0,"–",E61/(E61+F61)))</f>
        <v/>
      </c>
      <c r="I61" s="65" t="str">
        <f aca="false">IF($A61="","",IFERROR(AVERAGEIFS(Leads!$T$6:$T$305,Leads!$D$6:$D$305,$A61,Leads!$N$6:$N$305,"Won",Leads!$B$6:$B$305,"&gt;="&amp;DATE($B$4,1,1),Leads!$B$6:$B$305,"&lt;"&amp;DATE($B$4+1,1,1)),"–"))</f>
        <v/>
      </c>
      <c r="J61" s="65"/>
      <c r="K61" s="65"/>
      <c r="L61" s="65" t="str">
        <f aca="false">IF($A61="","",SUMIFS(Leads!$T$6:$T$305,Leads!$D$6:$D$305,$A61,Leads!$N$6:$N$305,"Won",Leads!$B$6:$B$305,"&gt;="&amp;DATE($B$4,1,1),Leads!$B$6:$B$305,"&lt;"&amp;DATE($B$4+1,1,1)))</f>
        <v/>
      </c>
      <c r="M61" s="65"/>
      <c r="N61" s="65"/>
    </row>
    <row r="62" customFormat="false" ht="24" hidden="false" customHeight="true" outlineLevel="0" collapsed="false">
      <c r="A62" s="66" t="str">
        <f aca="false">IF(Lists!$A$23="","",Lists!$A$23)</f>
        <v/>
      </c>
      <c r="B62" s="66"/>
      <c r="C62" s="66"/>
      <c r="D62" s="67" t="str">
        <f aca="false">IF($A62="","",COUNTIFS(Leads!$D$6:$D$305,$A62,Leads!$B$6:$B$305,"&gt;="&amp;DATE($B$4,1,1),Leads!$B$6:$B$305,"&lt;"&amp;DATE($B$4+1,1,1)))</f>
        <v/>
      </c>
      <c r="E62" s="67" t="str">
        <f aca="false">IF($A62="","",COUNTIFS(Leads!$D$6:$D$305,$A62,Leads!$B$6:$B$305,"&gt;="&amp;DATE($B$4,1,1),Leads!$B$6:$B$305,"&lt;"&amp;DATE($B$4+1,1,1),Leads!$N$6:$N$305,"Won"))</f>
        <v/>
      </c>
      <c r="F62" s="67" t="str">
        <f aca="false">IF($A62="","",COUNTIFS(Leads!$D$6:$D$305,$A62,Leads!$B$6:$B$305,"&gt;="&amp;DATE($B$4,1,1),Leads!$B$6:$B$305,"&lt;"&amp;DATE($B$4+1,1,1),Leads!$N$6:$N$305,"Lost"))</f>
        <v/>
      </c>
      <c r="G62" s="67" t="str">
        <f aca="false">IF($A62="","",D62-E62-F62)</f>
        <v/>
      </c>
      <c r="H62" s="68" t="str">
        <f aca="false">IF($A62="","",IF(E62+F62=0,"–",E62/(E62+F62)))</f>
        <v/>
      </c>
      <c r="I62" s="69" t="str">
        <f aca="false">IF($A62="","",IFERROR(AVERAGEIFS(Leads!$T$6:$T$305,Leads!$D$6:$D$305,$A62,Leads!$N$6:$N$305,"Won",Leads!$B$6:$B$305,"&gt;="&amp;DATE($B$4,1,1),Leads!$B$6:$B$305,"&lt;"&amp;DATE($B$4+1,1,1)),"–"))</f>
        <v/>
      </c>
      <c r="J62" s="69"/>
      <c r="K62" s="69"/>
      <c r="L62" s="69" t="str">
        <f aca="false">IF($A62="","",SUMIFS(Leads!$T$6:$T$305,Leads!$D$6:$D$305,$A62,Leads!$N$6:$N$305,"Won",Leads!$B$6:$B$305,"&gt;="&amp;DATE($B$4,1,1),Leads!$B$6:$B$305,"&lt;"&amp;DATE($B$4+1,1,1)))</f>
        <v/>
      </c>
      <c r="M62" s="69"/>
      <c r="N62" s="69"/>
    </row>
    <row r="63" customFormat="false" ht="24" hidden="false" customHeight="true" outlineLevel="0" collapsed="false">
      <c r="A63" s="62" t="str">
        <f aca="false">IF(Lists!$A$24="","",Lists!$A$24)</f>
        <v/>
      </c>
      <c r="B63" s="62"/>
      <c r="C63" s="62"/>
      <c r="D63" s="63" t="str">
        <f aca="false">IF($A63="","",COUNTIFS(Leads!$D$6:$D$305,$A63,Leads!$B$6:$B$305,"&gt;="&amp;DATE($B$4,1,1),Leads!$B$6:$B$305,"&lt;"&amp;DATE($B$4+1,1,1)))</f>
        <v/>
      </c>
      <c r="E63" s="63" t="str">
        <f aca="false">IF($A63="","",COUNTIFS(Leads!$D$6:$D$305,$A63,Leads!$B$6:$B$305,"&gt;="&amp;DATE($B$4,1,1),Leads!$B$6:$B$305,"&lt;"&amp;DATE($B$4+1,1,1),Leads!$N$6:$N$305,"Won"))</f>
        <v/>
      </c>
      <c r="F63" s="63" t="str">
        <f aca="false">IF($A63="","",COUNTIFS(Leads!$D$6:$D$305,$A63,Leads!$B$6:$B$305,"&gt;="&amp;DATE($B$4,1,1),Leads!$B$6:$B$305,"&lt;"&amp;DATE($B$4+1,1,1),Leads!$N$6:$N$305,"Lost"))</f>
        <v/>
      </c>
      <c r="G63" s="63" t="str">
        <f aca="false">IF($A63="","",D63-E63-F63)</f>
        <v/>
      </c>
      <c r="H63" s="64" t="str">
        <f aca="false">IF($A63="","",IF(E63+F63=0,"–",E63/(E63+F63)))</f>
        <v/>
      </c>
      <c r="I63" s="65" t="str">
        <f aca="false">IF($A63="","",IFERROR(AVERAGEIFS(Leads!$T$6:$T$305,Leads!$D$6:$D$305,$A63,Leads!$N$6:$N$305,"Won",Leads!$B$6:$B$305,"&gt;="&amp;DATE($B$4,1,1),Leads!$B$6:$B$305,"&lt;"&amp;DATE($B$4+1,1,1)),"–"))</f>
        <v/>
      </c>
      <c r="J63" s="65"/>
      <c r="K63" s="65"/>
      <c r="L63" s="65" t="str">
        <f aca="false">IF($A63="","",SUMIFS(Leads!$T$6:$T$305,Leads!$D$6:$D$305,$A63,Leads!$N$6:$N$305,"Won",Leads!$B$6:$B$305,"&gt;="&amp;DATE($B$4,1,1),Leads!$B$6:$B$305,"&lt;"&amp;DATE($B$4+1,1,1)))</f>
        <v/>
      </c>
      <c r="M63" s="65"/>
      <c r="N63" s="65"/>
    </row>
    <row r="64" customFormat="false" ht="24" hidden="false" customHeight="true" outlineLevel="0" collapsed="false">
      <c r="A64" s="66" t="str">
        <f aca="false">IF(Lists!$A$25="","",Lists!$A$25)</f>
        <v/>
      </c>
      <c r="B64" s="66"/>
      <c r="C64" s="66"/>
      <c r="D64" s="67" t="str">
        <f aca="false">IF($A64="","",COUNTIFS(Leads!$D$6:$D$305,$A64,Leads!$B$6:$B$305,"&gt;="&amp;DATE($B$4,1,1),Leads!$B$6:$B$305,"&lt;"&amp;DATE($B$4+1,1,1)))</f>
        <v/>
      </c>
      <c r="E64" s="67" t="str">
        <f aca="false">IF($A64="","",COUNTIFS(Leads!$D$6:$D$305,$A64,Leads!$B$6:$B$305,"&gt;="&amp;DATE($B$4,1,1),Leads!$B$6:$B$305,"&lt;"&amp;DATE($B$4+1,1,1),Leads!$N$6:$N$305,"Won"))</f>
        <v/>
      </c>
      <c r="F64" s="67" t="str">
        <f aca="false">IF($A64="","",COUNTIFS(Leads!$D$6:$D$305,$A64,Leads!$B$6:$B$305,"&gt;="&amp;DATE($B$4,1,1),Leads!$B$6:$B$305,"&lt;"&amp;DATE($B$4+1,1,1),Leads!$N$6:$N$305,"Lost"))</f>
        <v/>
      </c>
      <c r="G64" s="67" t="str">
        <f aca="false">IF($A64="","",D64-E64-F64)</f>
        <v/>
      </c>
      <c r="H64" s="68" t="str">
        <f aca="false">IF($A64="","",IF(E64+F64=0,"–",E64/(E64+F64)))</f>
        <v/>
      </c>
      <c r="I64" s="69" t="str">
        <f aca="false">IF($A64="","",IFERROR(AVERAGEIFS(Leads!$T$6:$T$305,Leads!$D$6:$D$305,$A64,Leads!$N$6:$N$305,"Won",Leads!$B$6:$B$305,"&gt;="&amp;DATE($B$4,1,1),Leads!$B$6:$B$305,"&lt;"&amp;DATE($B$4+1,1,1)),"–"))</f>
        <v/>
      </c>
      <c r="J64" s="69"/>
      <c r="K64" s="69"/>
      <c r="L64" s="69" t="str">
        <f aca="false">IF($A64="","",SUMIFS(Leads!$T$6:$T$305,Leads!$D$6:$D$305,$A64,Leads!$N$6:$N$305,"Won",Leads!$B$6:$B$305,"&gt;="&amp;DATE($B$4,1,1),Leads!$B$6:$B$305,"&lt;"&amp;DATE($B$4+1,1,1)))</f>
        <v/>
      </c>
      <c r="M64" s="69"/>
      <c r="N64" s="69"/>
    </row>
    <row r="65" customFormat="false" ht="24" hidden="false" customHeight="true" outlineLevel="0" collapsed="false">
      <c r="A65" s="62" t="str">
        <f aca="false">IF(Lists!$A$26="","",Lists!$A$26)</f>
        <v/>
      </c>
      <c r="B65" s="62"/>
      <c r="C65" s="62"/>
      <c r="D65" s="63" t="str">
        <f aca="false">IF($A65="","",COUNTIFS(Leads!$D$6:$D$305,$A65,Leads!$B$6:$B$305,"&gt;="&amp;DATE($B$4,1,1),Leads!$B$6:$B$305,"&lt;"&amp;DATE($B$4+1,1,1)))</f>
        <v/>
      </c>
      <c r="E65" s="63" t="str">
        <f aca="false">IF($A65="","",COUNTIFS(Leads!$D$6:$D$305,$A65,Leads!$B$6:$B$305,"&gt;="&amp;DATE($B$4,1,1),Leads!$B$6:$B$305,"&lt;"&amp;DATE($B$4+1,1,1),Leads!$N$6:$N$305,"Won"))</f>
        <v/>
      </c>
      <c r="F65" s="63" t="str">
        <f aca="false">IF($A65="","",COUNTIFS(Leads!$D$6:$D$305,$A65,Leads!$B$6:$B$305,"&gt;="&amp;DATE($B$4,1,1),Leads!$B$6:$B$305,"&lt;"&amp;DATE($B$4+1,1,1),Leads!$N$6:$N$305,"Lost"))</f>
        <v/>
      </c>
      <c r="G65" s="63" t="str">
        <f aca="false">IF($A65="","",D65-E65-F65)</f>
        <v/>
      </c>
      <c r="H65" s="64" t="str">
        <f aca="false">IF($A65="","",IF(E65+F65=0,"–",E65/(E65+F65)))</f>
        <v/>
      </c>
      <c r="I65" s="65" t="str">
        <f aca="false">IF($A65="","",IFERROR(AVERAGEIFS(Leads!$T$6:$T$305,Leads!$D$6:$D$305,$A65,Leads!$N$6:$N$305,"Won",Leads!$B$6:$B$305,"&gt;="&amp;DATE($B$4,1,1),Leads!$B$6:$B$305,"&lt;"&amp;DATE($B$4+1,1,1)),"–"))</f>
        <v/>
      </c>
      <c r="J65" s="65"/>
      <c r="K65" s="65"/>
      <c r="L65" s="65" t="str">
        <f aca="false">IF($A65="","",SUMIFS(Leads!$T$6:$T$305,Leads!$D$6:$D$305,$A65,Leads!$N$6:$N$305,"Won",Leads!$B$6:$B$305,"&gt;="&amp;DATE($B$4,1,1),Leads!$B$6:$B$305,"&lt;"&amp;DATE($B$4+1,1,1)))</f>
        <v/>
      </c>
      <c r="M65" s="65"/>
      <c r="N65" s="65"/>
    </row>
    <row r="66" customFormat="false" ht="24" hidden="false" customHeight="true" outlineLevel="0" collapsed="false">
      <c r="A66" s="66" t="str">
        <f aca="false">IF(Lists!$A$27="","",Lists!$A$27)</f>
        <v/>
      </c>
      <c r="B66" s="66"/>
      <c r="C66" s="66"/>
      <c r="D66" s="67" t="str">
        <f aca="false">IF($A66="","",COUNTIFS(Leads!$D$6:$D$305,$A66,Leads!$B$6:$B$305,"&gt;="&amp;DATE($B$4,1,1),Leads!$B$6:$B$305,"&lt;"&amp;DATE($B$4+1,1,1)))</f>
        <v/>
      </c>
      <c r="E66" s="67" t="str">
        <f aca="false">IF($A66="","",COUNTIFS(Leads!$D$6:$D$305,$A66,Leads!$B$6:$B$305,"&gt;="&amp;DATE($B$4,1,1),Leads!$B$6:$B$305,"&lt;"&amp;DATE($B$4+1,1,1),Leads!$N$6:$N$305,"Won"))</f>
        <v/>
      </c>
      <c r="F66" s="67" t="str">
        <f aca="false">IF($A66="","",COUNTIFS(Leads!$D$6:$D$305,$A66,Leads!$B$6:$B$305,"&gt;="&amp;DATE($B$4,1,1),Leads!$B$6:$B$305,"&lt;"&amp;DATE($B$4+1,1,1),Leads!$N$6:$N$305,"Lost"))</f>
        <v/>
      </c>
      <c r="G66" s="67" t="str">
        <f aca="false">IF($A66="","",D66-E66-F66)</f>
        <v/>
      </c>
      <c r="H66" s="68" t="str">
        <f aca="false">IF($A66="","",IF(E66+F66=0,"–",E66/(E66+F66)))</f>
        <v/>
      </c>
      <c r="I66" s="69" t="str">
        <f aca="false">IF($A66="","",IFERROR(AVERAGEIFS(Leads!$T$6:$T$305,Leads!$D$6:$D$305,$A66,Leads!$N$6:$N$305,"Won",Leads!$B$6:$B$305,"&gt;="&amp;DATE($B$4,1,1),Leads!$B$6:$B$305,"&lt;"&amp;DATE($B$4+1,1,1)),"–"))</f>
        <v/>
      </c>
      <c r="J66" s="69"/>
      <c r="K66" s="69"/>
      <c r="L66" s="69" t="str">
        <f aca="false">IF($A66="","",SUMIFS(Leads!$T$6:$T$305,Leads!$D$6:$D$305,$A66,Leads!$N$6:$N$305,"Won",Leads!$B$6:$B$305,"&gt;="&amp;DATE($B$4,1,1),Leads!$B$6:$B$305,"&lt;"&amp;DATE($B$4+1,1,1)))</f>
        <v/>
      </c>
      <c r="M66" s="69"/>
      <c r="N66" s="69"/>
    </row>
    <row r="67" customFormat="false" ht="24" hidden="false" customHeight="true" outlineLevel="0" collapsed="false">
      <c r="A67" s="62" t="str">
        <f aca="false">IF(Lists!$A$28="","",Lists!$A$28)</f>
        <v/>
      </c>
      <c r="B67" s="62"/>
      <c r="C67" s="62"/>
      <c r="D67" s="63" t="str">
        <f aca="false">IF($A67="","",COUNTIFS(Leads!$D$6:$D$305,$A67,Leads!$B$6:$B$305,"&gt;="&amp;DATE($B$4,1,1),Leads!$B$6:$B$305,"&lt;"&amp;DATE($B$4+1,1,1)))</f>
        <v/>
      </c>
      <c r="E67" s="63" t="str">
        <f aca="false">IF($A67="","",COUNTIFS(Leads!$D$6:$D$305,$A67,Leads!$B$6:$B$305,"&gt;="&amp;DATE($B$4,1,1),Leads!$B$6:$B$305,"&lt;"&amp;DATE($B$4+1,1,1),Leads!$N$6:$N$305,"Won"))</f>
        <v/>
      </c>
      <c r="F67" s="63" t="str">
        <f aca="false">IF($A67="","",COUNTIFS(Leads!$D$6:$D$305,$A67,Leads!$B$6:$B$305,"&gt;="&amp;DATE($B$4,1,1),Leads!$B$6:$B$305,"&lt;"&amp;DATE($B$4+1,1,1),Leads!$N$6:$N$305,"Lost"))</f>
        <v/>
      </c>
      <c r="G67" s="63" t="str">
        <f aca="false">IF($A67="","",D67-E67-F67)</f>
        <v/>
      </c>
      <c r="H67" s="64" t="str">
        <f aca="false">IF($A67="","",IF(E67+F67=0,"–",E67/(E67+F67)))</f>
        <v/>
      </c>
      <c r="I67" s="65" t="str">
        <f aca="false">IF($A67="","",IFERROR(AVERAGEIFS(Leads!$T$6:$T$305,Leads!$D$6:$D$305,$A67,Leads!$N$6:$N$305,"Won",Leads!$B$6:$B$305,"&gt;="&amp;DATE($B$4,1,1),Leads!$B$6:$B$305,"&lt;"&amp;DATE($B$4+1,1,1)),"–"))</f>
        <v/>
      </c>
      <c r="J67" s="65"/>
      <c r="K67" s="65"/>
      <c r="L67" s="65" t="str">
        <f aca="false">IF($A67="","",SUMIFS(Leads!$T$6:$T$305,Leads!$D$6:$D$305,$A67,Leads!$N$6:$N$305,"Won",Leads!$B$6:$B$305,"&gt;="&amp;DATE($B$4,1,1),Leads!$B$6:$B$305,"&lt;"&amp;DATE($B$4+1,1,1)))</f>
        <v/>
      </c>
      <c r="M67" s="65"/>
      <c r="N67" s="65"/>
    </row>
    <row r="68" customFormat="false" ht="24" hidden="false" customHeight="true" outlineLevel="0" collapsed="false">
      <c r="A68" s="66" t="str">
        <f aca="false">IF(Lists!$A$29="","",Lists!$A$29)</f>
        <v/>
      </c>
      <c r="B68" s="66"/>
      <c r="C68" s="66"/>
      <c r="D68" s="67" t="str">
        <f aca="false">IF($A68="","",COUNTIFS(Leads!$D$6:$D$305,$A68,Leads!$B$6:$B$305,"&gt;="&amp;DATE($B$4,1,1),Leads!$B$6:$B$305,"&lt;"&amp;DATE($B$4+1,1,1)))</f>
        <v/>
      </c>
      <c r="E68" s="67" t="str">
        <f aca="false">IF($A68="","",COUNTIFS(Leads!$D$6:$D$305,$A68,Leads!$B$6:$B$305,"&gt;="&amp;DATE($B$4,1,1),Leads!$B$6:$B$305,"&lt;"&amp;DATE($B$4+1,1,1),Leads!$N$6:$N$305,"Won"))</f>
        <v/>
      </c>
      <c r="F68" s="67" t="str">
        <f aca="false">IF($A68="","",COUNTIFS(Leads!$D$6:$D$305,$A68,Leads!$B$6:$B$305,"&gt;="&amp;DATE($B$4,1,1),Leads!$B$6:$B$305,"&lt;"&amp;DATE($B$4+1,1,1),Leads!$N$6:$N$305,"Lost"))</f>
        <v/>
      </c>
      <c r="G68" s="67" t="str">
        <f aca="false">IF($A68="","",D68-E68-F68)</f>
        <v/>
      </c>
      <c r="H68" s="68" t="str">
        <f aca="false">IF($A68="","",IF(E68+F68=0,"–",E68/(E68+F68)))</f>
        <v/>
      </c>
      <c r="I68" s="69" t="str">
        <f aca="false">IF($A68="","",IFERROR(AVERAGEIFS(Leads!$T$6:$T$305,Leads!$D$6:$D$305,$A68,Leads!$N$6:$N$305,"Won",Leads!$B$6:$B$305,"&gt;="&amp;DATE($B$4,1,1),Leads!$B$6:$B$305,"&lt;"&amp;DATE($B$4+1,1,1)),"–"))</f>
        <v/>
      </c>
      <c r="J68" s="69"/>
      <c r="K68" s="69"/>
      <c r="L68" s="69" t="str">
        <f aca="false">IF($A68="","",SUMIFS(Leads!$T$6:$T$305,Leads!$D$6:$D$305,$A68,Leads!$N$6:$N$305,"Won",Leads!$B$6:$B$305,"&gt;="&amp;DATE($B$4,1,1),Leads!$B$6:$B$305,"&lt;"&amp;DATE($B$4+1,1,1)))</f>
        <v/>
      </c>
      <c r="M68" s="69"/>
      <c r="N68" s="69"/>
    </row>
    <row r="69" customFormat="false" ht="24" hidden="false" customHeight="true" outlineLevel="0" collapsed="false">
      <c r="A69" s="62" t="str">
        <f aca="false">IF(Lists!$A$30="","",Lists!$A$30)</f>
        <v/>
      </c>
      <c r="B69" s="62"/>
      <c r="C69" s="62"/>
      <c r="D69" s="63" t="str">
        <f aca="false">IF($A69="","",COUNTIFS(Leads!$D$6:$D$305,$A69,Leads!$B$6:$B$305,"&gt;="&amp;DATE($B$4,1,1),Leads!$B$6:$B$305,"&lt;"&amp;DATE($B$4+1,1,1)))</f>
        <v/>
      </c>
      <c r="E69" s="63" t="str">
        <f aca="false">IF($A69="","",COUNTIFS(Leads!$D$6:$D$305,$A69,Leads!$B$6:$B$305,"&gt;="&amp;DATE($B$4,1,1),Leads!$B$6:$B$305,"&lt;"&amp;DATE($B$4+1,1,1),Leads!$N$6:$N$305,"Won"))</f>
        <v/>
      </c>
      <c r="F69" s="63" t="str">
        <f aca="false">IF($A69="","",COUNTIFS(Leads!$D$6:$D$305,$A69,Leads!$B$6:$B$305,"&gt;="&amp;DATE($B$4,1,1),Leads!$B$6:$B$305,"&lt;"&amp;DATE($B$4+1,1,1),Leads!$N$6:$N$305,"Lost"))</f>
        <v/>
      </c>
      <c r="G69" s="63" t="str">
        <f aca="false">IF($A69="","",D69-E69-F69)</f>
        <v/>
      </c>
      <c r="H69" s="64" t="str">
        <f aca="false">IF($A69="","",IF(E69+F69=0,"–",E69/(E69+F69)))</f>
        <v/>
      </c>
      <c r="I69" s="65" t="str">
        <f aca="false">IF($A69="","",IFERROR(AVERAGEIFS(Leads!$T$6:$T$305,Leads!$D$6:$D$305,$A69,Leads!$N$6:$N$305,"Won",Leads!$B$6:$B$305,"&gt;="&amp;DATE($B$4,1,1),Leads!$B$6:$B$305,"&lt;"&amp;DATE($B$4+1,1,1)),"–"))</f>
        <v/>
      </c>
      <c r="J69" s="65"/>
      <c r="K69" s="65"/>
      <c r="L69" s="65" t="str">
        <f aca="false">IF($A69="","",SUMIFS(Leads!$T$6:$T$305,Leads!$D$6:$D$305,$A69,Leads!$N$6:$N$305,"Won",Leads!$B$6:$B$305,"&gt;="&amp;DATE($B$4,1,1),Leads!$B$6:$B$305,"&lt;"&amp;DATE($B$4+1,1,1)))</f>
        <v/>
      </c>
      <c r="M69" s="65"/>
      <c r="N69" s="65"/>
    </row>
    <row r="70" customFormat="false" ht="24" hidden="false" customHeight="true" outlineLevel="0" collapsed="false">
      <c r="A70" s="66" t="str">
        <f aca="false">IF(Lists!$A$31="","",Lists!$A$31)</f>
        <v/>
      </c>
      <c r="B70" s="66"/>
      <c r="C70" s="66"/>
      <c r="D70" s="67" t="str">
        <f aca="false">IF($A70="","",COUNTIFS(Leads!$D$6:$D$305,$A70,Leads!$B$6:$B$305,"&gt;="&amp;DATE($B$4,1,1),Leads!$B$6:$B$305,"&lt;"&amp;DATE($B$4+1,1,1)))</f>
        <v/>
      </c>
      <c r="E70" s="67" t="str">
        <f aca="false">IF($A70="","",COUNTIFS(Leads!$D$6:$D$305,$A70,Leads!$B$6:$B$305,"&gt;="&amp;DATE($B$4,1,1),Leads!$B$6:$B$305,"&lt;"&amp;DATE($B$4+1,1,1),Leads!$N$6:$N$305,"Won"))</f>
        <v/>
      </c>
      <c r="F70" s="67" t="str">
        <f aca="false">IF($A70="","",COUNTIFS(Leads!$D$6:$D$305,$A70,Leads!$B$6:$B$305,"&gt;="&amp;DATE($B$4,1,1),Leads!$B$6:$B$305,"&lt;"&amp;DATE($B$4+1,1,1),Leads!$N$6:$N$305,"Lost"))</f>
        <v/>
      </c>
      <c r="G70" s="67" t="str">
        <f aca="false">IF($A70="","",D70-E70-F70)</f>
        <v/>
      </c>
      <c r="H70" s="68" t="str">
        <f aca="false">IF($A70="","",IF(E70+F70=0,"–",E70/(E70+F70)))</f>
        <v/>
      </c>
      <c r="I70" s="69" t="str">
        <f aca="false">IF($A70="","",IFERROR(AVERAGEIFS(Leads!$T$6:$T$305,Leads!$D$6:$D$305,$A70,Leads!$N$6:$N$305,"Won",Leads!$B$6:$B$305,"&gt;="&amp;DATE($B$4,1,1),Leads!$B$6:$B$305,"&lt;"&amp;DATE($B$4+1,1,1)),"–"))</f>
        <v/>
      </c>
      <c r="J70" s="69"/>
      <c r="K70" s="69"/>
      <c r="L70" s="69" t="str">
        <f aca="false">IF($A70="","",SUMIFS(Leads!$T$6:$T$305,Leads!$D$6:$D$305,$A70,Leads!$N$6:$N$305,"Won",Leads!$B$6:$B$305,"&gt;="&amp;DATE($B$4,1,1),Leads!$B$6:$B$305,"&lt;"&amp;DATE($B$4+1,1,1)))</f>
        <v/>
      </c>
      <c r="M70" s="69"/>
      <c r="N70" s="69"/>
    </row>
    <row r="71" customFormat="false" ht="15" hidden="false" customHeight="false" outlineLevel="0" collapsed="false">
      <c r="A71" s="25" t="s">
        <v>228</v>
      </c>
      <c r="B71" s="25"/>
      <c r="C71" s="25"/>
      <c r="D71" s="25"/>
      <c r="E71" s="25"/>
      <c r="F71" s="25"/>
      <c r="G71" s="25"/>
      <c r="H71" s="25"/>
      <c r="I71" s="25"/>
      <c r="J71" s="25"/>
      <c r="K71" s="25"/>
      <c r="L71" s="25"/>
      <c r="M71" s="25"/>
      <c r="N71" s="25"/>
    </row>
    <row r="73" customFormat="false" ht="21.75" hidden="false" customHeight="true" outlineLevel="0" collapsed="false">
      <c r="A73" s="4" t="str">
        <f aca="false">"BY SOURCE OF CONTACT – leads added in "&amp;$B$4</f>
        <v>BY SOURCE OF CONTACT – leads added in 2026</v>
      </c>
      <c r="B73" s="5"/>
      <c r="C73" s="5"/>
      <c r="D73" s="5"/>
      <c r="E73" s="5"/>
      <c r="F73" s="5"/>
      <c r="G73" s="5"/>
      <c r="H73" s="5"/>
      <c r="I73" s="5"/>
      <c r="J73" s="5"/>
      <c r="K73" s="5"/>
      <c r="L73" s="5"/>
      <c r="M73" s="5"/>
      <c r="N73" s="5"/>
    </row>
    <row r="74" customFormat="false" ht="30" hidden="false" customHeight="true" outlineLevel="0" collapsed="false">
      <c r="A74" s="61" t="s">
        <v>111</v>
      </c>
      <c r="B74" s="61"/>
      <c r="C74" s="61"/>
      <c r="D74" s="20" t="s">
        <v>225</v>
      </c>
      <c r="E74" s="20" t="s">
        <v>93</v>
      </c>
      <c r="F74" s="20" t="s">
        <v>94</v>
      </c>
      <c r="G74" s="20" t="s">
        <v>226</v>
      </c>
      <c r="H74" s="20" t="s">
        <v>95</v>
      </c>
      <c r="I74" s="61" t="s">
        <v>227</v>
      </c>
      <c r="J74" s="61"/>
      <c r="K74" s="61"/>
      <c r="L74" s="61" t="s">
        <v>210</v>
      </c>
      <c r="M74" s="61"/>
      <c r="N74" s="61"/>
    </row>
    <row r="75" customFormat="false" ht="24" hidden="false" customHeight="true" outlineLevel="0" collapsed="false">
      <c r="A75" s="62" t="str">
        <f aca="false">IF(Lists!$D$2="","",Lists!$D$2)</f>
        <v>Enquiry to us (website, phone, email)</v>
      </c>
      <c r="B75" s="62"/>
      <c r="C75" s="62"/>
      <c r="D75" s="63" t="n">
        <f aca="false">IF($A75="","",COUNTIFS(Leads!$K$6:$K$305,$A75,Leads!$B$6:$B$305,"&gt;="&amp;DATE($B$4,1,1),Leads!$B$6:$B$305,"&lt;"&amp;DATE($B$4+1,1,1)))</f>
        <v>0</v>
      </c>
      <c r="E75" s="63" t="n">
        <f aca="false">IF($A75="","",COUNTIFS(Leads!$K$6:$K$305,$A75,Leads!$B$6:$B$305,"&gt;="&amp;DATE($B$4,1,1),Leads!$B$6:$B$305,"&lt;"&amp;DATE($B$4+1,1,1),Leads!$N$6:$N$305,"Won"))</f>
        <v>0</v>
      </c>
      <c r="F75" s="63" t="n">
        <f aca="false">IF($A75="","",COUNTIFS(Leads!$K$6:$K$305,$A75,Leads!$B$6:$B$305,"&gt;="&amp;DATE($B$4,1,1),Leads!$B$6:$B$305,"&lt;"&amp;DATE($B$4+1,1,1),Leads!$N$6:$N$305,"Lost"))</f>
        <v>0</v>
      </c>
      <c r="G75" s="63" t="n">
        <f aca="false">IF($A75="","",D75-E75-F75)</f>
        <v>0</v>
      </c>
      <c r="H75" s="64" t="str">
        <f aca="false">IF($A75="","",IF(E75+F75=0,"–",E75/(E75+F75)))</f>
        <v>–</v>
      </c>
      <c r="I75" s="65" t="str">
        <f aca="false">IF($A75="","",IFERROR(AVERAGEIFS(Leads!$T$6:$T$305,Leads!$K$6:$K$305,$A75,Leads!$N$6:$N$305,"Won",Leads!$B$6:$B$305,"&gt;="&amp;DATE($B$4,1,1),Leads!$B$6:$B$305,"&lt;"&amp;DATE($B$4+1,1,1)),"–"))</f>
        <v>–</v>
      </c>
      <c r="J75" s="65"/>
      <c r="K75" s="65"/>
      <c r="L75" s="65" t="n">
        <f aca="false">IF($A75="","",SUMIFS(Leads!$T$6:$T$305,Leads!$K$6:$K$305,$A75,Leads!$N$6:$N$305,"Won",Leads!$B$6:$B$305,"&gt;="&amp;DATE($B$4,1,1),Leads!$B$6:$B$305,"&lt;"&amp;DATE($B$4+1,1,1)))</f>
        <v>0</v>
      </c>
      <c r="M75" s="65"/>
      <c r="N75" s="65"/>
    </row>
    <row r="76" customFormat="false" ht="24" hidden="false" customHeight="true" outlineLevel="0" collapsed="false">
      <c r="A76" s="66" t="str">
        <f aca="false">IF(Lists!$D$3="","",Lists!$D$3)</f>
        <v>Referral or recommendation</v>
      </c>
      <c r="B76" s="66"/>
      <c r="C76" s="66"/>
      <c r="D76" s="67" t="n">
        <f aca="false">IF($A76="","",COUNTIFS(Leads!$K$6:$K$305,$A76,Leads!$B$6:$B$305,"&gt;="&amp;DATE($B$4,1,1),Leads!$B$6:$B$305,"&lt;"&amp;DATE($B$4+1,1,1)))</f>
        <v>0</v>
      </c>
      <c r="E76" s="67" t="n">
        <f aca="false">IF($A76="","",COUNTIFS(Leads!$K$6:$K$305,$A76,Leads!$B$6:$B$305,"&gt;="&amp;DATE($B$4,1,1),Leads!$B$6:$B$305,"&lt;"&amp;DATE($B$4+1,1,1),Leads!$N$6:$N$305,"Won"))</f>
        <v>0</v>
      </c>
      <c r="F76" s="67" t="n">
        <f aca="false">IF($A76="","",COUNTIFS(Leads!$K$6:$K$305,$A76,Leads!$B$6:$B$305,"&gt;="&amp;DATE($B$4,1,1),Leads!$B$6:$B$305,"&lt;"&amp;DATE($B$4+1,1,1),Leads!$N$6:$N$305,"Lost"))</f>
        <v>0</v>
      </c>
      <c r="G76" s="67" t="n">
        <f aca="false">IF($A76="","",D76-E76-F76)</f>
        <v>0</v>
      </c>
      <c r="H76" s="68" t="str">
        <f aca="false">IF($A76="","",IF(E76+F76=0,"–",E76/(E76+F76)))</f>
        <v>–</v>
      </c>
      <c r="I76" s="69" t="str">
        <f aca="false">IF($A76="","",IFERROR(AVERAGEIFS(Leads!$T$6:$T$305,Leads!$K$6:$K$305,$A76,Leads!$N$6:$N$305,"Won",Leads!$B$6:$B$305,"&gt;="&amp;DATE($B$4,1,1),Leads!$B$6:$B$305,"&lt;"&amp;DATE($B$4+1,1,1)),"–"))</f>
        <v>–</v>
      </c>
      <c r="J76" s="69"/>
      <c r="K76" s="69"/>
      <c r="L76" s="69" t="n">
        <f aca="false">IF($A76="","",SUMIFS(Leads!$T$6:$T$305,Leads!$K$6:$K$305,$A76,Leads!$N$6:$N$305,"Won",Leads!$B$6:$B$305,"&gt;="&amp;DATE($B$4,1,1),Leads!$B$6:$B$305,"&lt;"&amp;DATE($B$4+1,1,1)))</f>
        <v>0</v>
      </c>
      <c r="M76" s="69"/>
      <c r="N76" s="69"/>
    </row>
    <row r="77" customFormat="false" ht="24" hidden="false" customHeight="true" outlineLevel="0" collapsed="false">
      <c r="A77" s="62" t="str">
        <f aca="false">IF(Lists!$D$4="","",Lists!$D$4)</f>
        <v>Existing or past customer</v>
      </c>
      <c r="B77" s="62"/>
      <c r="C77" s="62"/>
      <c r="D77" s="63" t="n">
        <f aca="false">IF($A77="","",COUNTIFS(Leads!$K$6:$K$305,$A77,Leads!$B$6:$B$305,"&gt;="&amp;DATE($B$4,1,1),Leads!$B$6:$B$305,"&lt;"&amp;DATE($B$4+1,1,1)))</f>
        <v>0</v>
      </c>
      <c r="E77" s="63" t="n">
        <f aca="false">IF($A77="","",COUNTIFS(Leads!$K$6:$K$305,$A77,Leads!$B$6:$B$305,"&gt;="&amp;DATE($B$4,1,1),Leads!$B$6:$B$305,"&lt;"&amp;DATE($B$4+1,1,1),Leads!$N$6:$N$305,"Won"))</f>
        <v>0</v>
      </c>
      <c r="F77" s="63" t="n">
        <f aca="false">IF($A77="","",COUNTIFS(Leads!$K$6:$K$305,$A77,Leads!$B$6:$B$305,"&gt;="&amp;DATE($B$4,1,1),Leads!$B$6:$B$305,"&lt;"&amp;DATE($B$4+1,1,1),Leads!$N$6:$N$305,"Lost"))</f>
        <v>0</v>
      </c>
      <c r="G77" s="63" t="n">
        <f aca="false">IF($A77="","",D77-E77-F77)</f>
        <v>0</v>
      </c>
      <c r="H77" s="64" t="str">
        <f aca="false">IF($A77="","",IF(E77+F77=0,"–",E77/(E77+F77)))</f>
        <v>–</v>
      </c>
      <c r="I77" s="65" t="str">
        <f aca="false">IF($A77="","",IFERROR(AVERAGEIFS(Leads!$T$6:$T$305,Leads!$K$6:$K$305,$A77,Leads!$N$6:$N$305,"Won",Leads!$B$6:$B$305,"&gt;="&amp;DATE($B$4,1,1),Leads!$B$6:$B$305,"&lt;"&amp;DATE($B$4+1,1,1)),"–"))</f>
        <v>–</v>
      </c>
      <c r="J77" s="65"/>
      <c r="K77" s="65"/>
      <c r="L77" s="65" t="n">
        <f aca="false">IF($A77="","",SUMIFS(Leads!$T$6:$T$305,Leads!$K$6:$K$305,$A77,Leads!$N$6:$N$305,"Won",Leads!$B$6:$B$305,"&gt;="&amp;DATE($B$4,1,1),Leads!$B$6:$B$305,"&lt;"&amp;DATE($B$4+1,1,1)))</f>
        <v>0</v>
      </c>
      <c r="M77" s="65"/>
      <c r="N77" s="65"/>
    </row>
    <row r="78" customFormat="false" ht="24" hidden="false" customHeight="true" outlineLevel="0" collapsed="false">
      <c r="A78" s="66" t="str">
        <f aca="false">IF(Lists!$D$5="","",Lists!$D$5)</f>
        <v>Companies House or public register</v>
      </c>
      <c r="B78" s="66"/>
      <c r="C78" s="66"/>
      <c r="D78" s="67" t="n">
        <f aca="false">IF($A78="","",COUNTIFS(Leads!$K$6:$K$305,$A78,Leads!$B$6:$B$305,"&gt;="&amp;DATE($B$4,1,1),Leads!$B$6:$B$305,"&lt;"&amp;DATE($B$4+1,1,1)))</f>
        <v>0</v>
      </c>
      <c r="E78" s="67" t="n">
        <f aca="false">IF($A78="","",COUNTIFS(Leads!$K$6:$K$305,$A78,Leads!$B$6:$B$305,"&gt;="&amp;DATE($B$4,1,1),Leads!$B$6:$B$305,"&lt;"&amp;DATE($B$4+1,1,1),Leads!$N$6:$N$305,"Won"))</f>
        <v>0</v>
      </c>
      <c r="F78" s="67" t="n">
        <f aca="false">IF($A78="","",COUNTIFS(Leads!$K$6:$K$305,$A78,Leads!$B$6:$B$305,"&gt;="&amp;DATE($B$4,1,1),Leads!$B$6:$B$305,"&lt;"&amp;DATE($B$4+1,1,1),Leads!$N$6:$N$305,"Lost"))</f>
        <v>0</v>
      </c>
      <c r="G78" s="67" t="n">
        <f aca="false">IF($A78="","",D78-E78-F78)</f>
        <v>0</v>
      </c>
      <c r="H78" s="68" t="str">
        <f aca="false">IF($A78="","",IF(E78+F78=0,"–",E78/(E78+F78)))</f>
        <v>–</v>
      </c>
      <c r="I78" s="69" t="str">
        <f aca="false">IF($A78="","",IFERROR(AVERAGEIFS(Leads!$T$6:$T$305,Leads!$K$6:$K$305,$A78,Leads!$N$6:$N$305,"Won",Leads!$B$6:$B$305,"&gt;="&amp;DATE($B$4,1,1),Leads!$B$6:$B$305,"&lt;"&amp;DATE($B$4+1,1,1)),"–"))</f>
        <v>–</v>
      </c>
      <c r="J78" s="69"/>
      <c r="K78" s="69"/>
      <c r="L78" s="69" t="n">
        <f aca="false">IF($A78="","",SUMIFS(Leads!$T$6:$T$305,Leads!$K$6:$K$305,$A78,Leads!$N$6:$N$305,"Won",Leads!$B$6:$B$305,"&gt;="&amp;DATE($B$4,1,1),Leads!$B$6:$B$305,"&lt;"&amp;DATE($B$4+1,1,1)))</f>
        <v>0</v>
      </c>
      <c r="M78" s="69"/>
      <c r="N78" s="69"/>
    </row>
    <row r="79" customFormat="false" ht="24" hidden="false" customHeight="true" outlineLevel="0" collapsed="false">
      <c r="A79" s="62" t="str">
        <f aca="false">IF(Lists!$D$6="","",Lists!$D$6)</f>
        <v>Business directory or trade body</v>
      </c>
      <c r="B79" s="62"/>
      <c r="C79" s="62"/>
      <c r="D79" s="63" t="n">
        <f aca="false">IF($A79="","",COUNTIFS(Leads!$K$6:$K$305,$A79,Leads!$B$6:$B$305,"&gt;="&amp;DATE($B$4,1,1),Leads!$B$6:$B$305,"&lt;"&amp;DATE($B$4+1,1,1)))</f>
        <v>0</v>
      </c>
      <c r="E79" s="63" t="n">
        <f aca="false">IF($A79="","",COUNTIFS(Leads!$K$6:$K$305,$A79,Leads!$B$6:$B$305,"&gt;="&amp;DATE($B$4,1,1),Leads!$B$6:$B$305,"&lt;"&amp;DATE($B$4+1,1,1),Leads!$N$6:$N$305,"Won"))</f>
        <v>0</v>
      </c>
      <c r="F79" s="63" t="n">
        <f aca="false">IF($A79="","",COUNTIFS(Leads!$K$6:$K$305,$A79,Leads!$B$6:$B$305,"&gt;="&amp;DATE($B$4,1,1),Leads!$B$6:$B$305,"&lt;"&amp;DATE($B$4+1,1,1),Leads!$N$6:$N$305,"Lost"))</f>
        <v>0</v>
      </c>
      <c r="G79" s="63" t="n">
        <f aca="false">IF($A79="","",D79-E79-F79)</f>
        <v>0</v>
      </c>
      <c r="H79" s="64" t="str">
        <f aca="false">IF($A79="","",IF(E79+F79=0,"–",E79/(E79+F79)))</f>
        <v>–</v>
      </c>
      <c r="I79" s="65" t="str">
        <f aca="false">IF($A79="","",IFERROR(AVERAGEIFS(Leads!$T$6:$T$305,Leads!$K$6:$K$305,$A79,Leads!$N$6:$N$305,"Won",Leads!$B$6:$B$305,"&gt;="&amp;DATE($B$4,1,1),Leads!$B$6:$B$305,"&lt;"&amp;DATE($B$4+1,1,1)),"–"))</f>
        <v>–</v>
      </c>
      <c r="J79" s="65"/>
      <c r="K79" s="65"/>
      <c r="L79" s="65" t="n">
        <f aca="false">IF($A79="","",SUMIFS(Leads!$T$6:$T$305,Leads!$K$6:$K$305,$A79,Leads!$N$6:$N$305,"Won",Leads!$B$6:$B$305,"&gt;="&amp;DATE($B$4,1,1),Leads!$B$6:$B$305,"&lt;"&amp;DATE($B$4+1,1,1)))</f>
        <v>0</v>
      </c>
      <c r="M79" s="65"/>
      <c r="N79" s="65"/>
    </row>
    <row r="80" customFormat="false" ht="24" hidden="false" customHeight="true" outlineLevel="0" collapsed="false">
      <c r="A80" s="66" t="str">
        <f aca="false">IF(Lists!$D$7="","",Lists!$D$7)</f>
        <v>LinkedIn or social media</v>
      </c>
      <c r="B80" s="66"/>
      <c r="C80" s="66"/>
      <c r="D80" s="67" t="n">
        <f aca="false">IF($A80="","",COUNTIFS(Leads!$K$6:$K$305,$A80,Leads!$B$6:$B$305,"&gt;="&amp;DATE($B$4,1,1),Leads!$B$6:$B$305,"&lt;"&amp;DATE($B$4+1,1,1)))</f>
        <v>0</v>
      </c>
      <c r="E80" s="67" t="n">
        <f aca="false">IF($A80="","",COUNTIFS(Leads!$K$6:$K$305,$A80,Leads!$B$6:$B$305,"&gt;="&amp;DATE($B$4,1,1),Leads!$B$6:$B$305,"&lt;"&amp;DATE($B$4+1,1,1),Leads!$N$6:$N$305,"Won"))</f>
        <v>0</v>
      </c>
      <c r="F80" s="67" t="n">
        <f aca="false">IF($A80="","",COUNTIFS(Leads!$K$6:$K$305,$A80,Leads!$B$6:$B$305,"&gt;="&amp;DATE($B$4,1,1),Leads!$B$6:$B$305,"&lt;"&amp;DATE($B$4+1,1,1),Leads!$N$6:$N$305,"Lost"))</f>
        <v>0</v>
      </c>
      <c r="G80" s="67" t="n">
        <f aca="false">IF($A80="","",D80-E80-F80)</f>
        <v>0</v>
      </c>
      <c r="H80" s="68" t="str">
        <f aca="false">IF($A80="","",IF(E80+F80=0,"–",E80/(E80+F80)))</f>
        <v>–</v>
      </c>
      <c r="I80" s="69" t="str">
        <f aca="false">IF($A80="","",IFERROR(AVERAGEIFS(Leads!$T$6:$T$305,Leads!$K$6:$K$305,$A80,Leads!$N$6:$N$305,"Won",Leads!$B$6:$B$305,"&gt;="&amp;DATE($B$4,1,1),Leads!$B$6:$B$305,"&lt;"&amp;DATE($B$4+1,1,1)),"–"))</f>
        <v>–</v>
      </c>
      <c r="J80" s="69"/>
      <c r="K80" s="69"/>
      <c r="L80" s="69" t="n">
        <f aca="false">IF($A80="","",SUMIFS(Leads!$T$6:$T$305,Leads!$K$6:$K$305,$A80,Leads!$N$6:$N$305,"Won",Leads!$B$6:$B$305,"&gt;="&amp;DATE($B$4,1,1),Leads!$B$6:$B$305,"&lt;"&amp;DATE($B$4+1,1,1)))</f>
        <v>0</v>
      </c>
      <c r="M80" s="69"/>
      <c r="N80" s="69"/>
    </row>
    <row r="81" customFormat="false" ht="24" hidden="false" customHeight="true" outlineLevel="0" collapsed="false">
      <c r="A81" s="62" t="str">
        <f aca="false">IF(Lists!$D$8="","",Lists!$D$8)</f>
        <v>Networking or trade event</v>
      </c>
      <c r="B81" s="62"/>
      <c r="C81" s="62"/>
      <c r="D81" s="63" t="n">
        <f aca="false">IF($A81="","",COUNTIFS(Leads!$K$6:$K$305,$A81,Leads!$B$6:$B$305,"&gt;="&amp;DATE($B$4,1,1),Leads!$B$6:$B$305,"&lt;"&amp;DATE($B$4+1,1,1)))</f>
        <v>0</v>
      </c>
      <c r="E81" s="63" t="n">
        <f aca="false">IF($A81="","",COUNTIFS(Leads!$K$6:$K$305,$A81,Leads!$B$6:$B$305,"&gt;="&amp;DATE($B$4,1,1),Leads!$B$6:$B$305,"&lt;"&amp;DATE($B$4+1,1,1),Leads!$N$6:$N$305,"Won"))</f>
        <v>0</v>
      </c>
      <c r="F81" s="63" t="n">
        <f aca="false">IF($A81="","",COUNTIFS(Leads!$K$6:$K$305,$A81,Leads!$B$6:$B$305,"&gt;="&amp;DATE($B$4,1,1),Leads!$B$6:$B$305,"&lt;"&amp;DATE($B$4+1,1,1),Leads!$N$6:$N$305,"Lost"))</f>
        <v>0</v>
      </c>
      <c r="G81" s="63" t="n">
        <f aca="false">IF($A81="","",D81-E81-F81)</f>
        <v>0</v>
      </c>
      <c r="H81" s="64" t="str">
        <f aca="false">IF($A81="","",IF(E81+F81=0,"–",E81/(E81+F81)))</f>
        <v>–</v>
      </c>
      <c r="I81" s="65" t="str">
        <f aca="false">IF($A81="","",IFERROR(AVERAGEIFS(Leads!$T$6:$T$305,Leads!$K$6:$K$305,$A81,Leads!$N$6:$N$305,"Won",Leads!$B$6:$B$305,"&gt;="&amp;DATE($B$4,1,1),Leads!$B$6:$B$305,"&lt;"&amp;DATE($B$4+1,1,1)),"–"))</f>
        <v>–</v>
      </c>
      <c r="J81" s="65"/>
      <c r="K81" s="65"/>
      <c r="L81" s="65" t="n">
        <f aca="false">IF($A81="","",SUMIFS(Leads!$T$6:$T$305,Leads!$K$6:$K$305,$A81,Leads!$N$6:$N$305,"Won",Leads!$B$6:$B$305,"&gt;="&amp;DATE($B$4,1,1),Leads!$B$6:$B$305,"&lt;"&amp;DATE($B$4+1,1,1)))</f>
        <v>0</v>
      </c>
      <c r="M81" s="65"/>
      <c r="N81" s="65"/>
    </row>
    <row r="82" customFormat="false" ht="24" hidden="false" customHeight="true" outlineLevel="0" collapsed="false">
      <c r="A82" s="66" t="str">
        <f aca="false">IF(Lists!$D$9="","",Lists!$D$9)</f>
        <v>Tender or framework portal</v>
      </c>
      <c r="B82" s="66"/>
      <c r="C82" s="66"/>
      <c r="D82" s="67" t="n">
        <f aca="false">IF($A82="","",COUNTIFS(Leads!$K$6:$K$305,$A82,Leads!$B$6:$B$305,"&gt;="&amp;DATE($B$4,1,1),Leads!$B$6:$B$305,"&lt;"&amp;DATE($B$4+1,1,1)))</f>
        <v>0</v>
      </c>
      <c r="E82" s="67" t="n">
        <f aca="false">IF($A82="","",COUNTIFS(Leads!$K$6:$K$305,$A82,Leads!$B$6:$B$305,"&gt;="&amp;DATE($B$4,1,1),Leads!$B$6:$B$305,"&lt;"&amp;DATE($B$4+1,1,1),Leads!$N$6:$N$305,"Won"))</f>
        <v>0</v>
      </c>
      <c r="F82" s="67" t="n">
        <f aca="false">IF($A82="","",COUNTIFS(Leads!$K$6:$K$305,$A82,Leads!$B$6:$B$305,"&gt;="&amp;DATE($B$4,1,1),Leads!$B$6:$B$305,"&lt;"&amp;DATE($B$4+1,1,1),Leads!$N$6:$N$305,"Lost"))</f>
        <v>0</v>
      </c>
      <c r="G82" s="67" t="n">
        <f aca="false">IF($A82="","",D82-E82-F82)</f>
        <v>0</v>
      </c>
      <c r="H82" s="68" t="str">
        <f aca="false">IF($A82="","",IF(E82+F82=0,"–",E82/(E82+F82)))</f>
        <v>–</v>
      </c>
      <c r="I82" s="69" t="str">
        <f aca="false">IF($A82="","",IFERROR(AVERAGEIFS(Leads!$T$6:$T$305,Leads!$K$6:$K$305,$A82,Leads!$N$6:$N$305,"Won",Leads!$B$6:$B$305,"&gt;="&amp;DATE($B$4,1,1),Leads!$B$6:$B$305,"&lt;"&amp;DATE($B$4+1,1,1)),"–"))</f>
        <v>–</v>
      </c>
      <c r="J82" s="69"/>
      <c r="K82" s="69"/>
      <c r="L82" s="69" t="n">
        <f aca="false">IF($A82="","",SUMIFS(Leads!$T$6:$T$305,Leads!$K$6:$K$305,$A82,Leads!$N$6:$N$305,"Won",Leads!$B$6:$B$305,"&gt;="&amp;DATE($B$4,1,1),Leads!$B$6:$B$305,"&lt;"&amp;DATE($B$4+1,1,1)))</f>
        <v>0</v>
      </c>
      <c r="M82" s="69"/>
      <c r="N82" s="69"/>
    </row>
    <row r="83" customFormat="false" ht="24" hidden="false" customHeight="true" outlineLevel="0" collapsed="false">
      <c r="A83" s="62" t="str">
        <f aca="false">IF(Lists!$D$10="","",Lists!$D$10)</f>
        <v>Their website (supplier page)</v>
      </c>
      <c r="B83" s="62"/>
      <c r="C83" s="62"/>
      <c r="D83" s="63" t="n">
        <f aca="false">IF($A83="","",COUNTIFS(Leads!$K$6:$K$305,$A83,Leads!$B$6:$B$305,"&gt;="&amp;DATE($B$4,1,1),Leads!$B$6:$B$305,"&lt;"&amp;DATE($B$4+1,1,1)))</f>
        <v>0</v>
      </c>
      <c r="E83" s="63" t="n">
        <f aca="false">IF($A83="","",COUNTIFS(Leads!$K$6:$K$305,$A83,Leads!$B$6:$B$305,"&gt;="&amp;DATE($B$4,1,1),Leads!$B$6:$B$305,"&lt;"&amp;DATE($B$4+1,1,1),Leads!$N$6:$N$305,"Won"))</f>
        <v>0</v>
      </c>
      <c r="F83" s="63" t="n">
        <f aca="false">IF($A83="","",COUNTIFS(Leads!$K$6:$K$305,$A83,Leads!$B$6:$B$305,"&gt;="&amp;DATE($B$4,1,1),Leads!$B$6:$B$305,"&lt;"&amp;DATE($B$4+1,1,1),Leads!$N$6:$N$305,"Lost"))</f>
        <v>0</v>
      </c>
      <c r="G83" s="63" t="n">
        <f aca="false">IF($A83="","",D83-E83-F83)</f>
        <v>0</v>
      </c>
      <c r="H83" s="64" t="str">
        <f aca="false">IF($A83="","",IF(E83+F83=0,"–",E83/(E83+F83)))</f>
        <v>–</v>
      </c>
      <c r="I83" s="65" t="str">
        <f aca="false">IF($A83="","",IFERROR(AVERAGEIFS(Leads!$T$6:$T$305,Leads!$K$6:$K$305,$A83,Leads!$N$6:$N$305,"Won",Leads!$B$6:$B$305,"&gt;="&amp;DATE($B$4,1,1),Leads!$B$6:$B$305,"&lt;"&amp;DATE($B$4+1,1,1)),"–"))</f>
        <v>–</v>
      </c>
      <c r="J83" s="65"/>
      <c r="K83" s="65"/>
      <c r="L83" s="65" t="n">
        <f aca="false">IF($A83="","",SUMIFS(Leads!$T$6:$T$305,Leads!$K$6:$K$305,$A83,Leads!$N$6:$N$305,"Won",Leads!$B$6:$B$305,"&gt;="&amp;DATE($B$4,1,1),Leads!$B$6:$B$305,"&lt;"&amp;DATE($B$4+1,1,1)))</f>
        <v>0</v>
      </c>
      <c r="M83" s="65"/>
      <c r="N83" s="65"/>
    </row>
    <row r="84" customFormat="false" ht="24" hidden="false" customHeight="true" outlineLevel="0" collapsed="false">
      <c r="A84" s="66" t="str">
        <f aca="false">IF(Lists!$D$11="","",Lists!$D$11)</f>
        <v>Other – say in Notes</v>
      </c>
      <c r="B84" s="66"/>
      <c r="C84" s="66"/>
      <c r="D84" s="67" t="n">
        <f aca="false">IF($A84="","",COUNTIFS(Leads!$K$6:$K$305,$A84,Leads!$B$6:$B$305,"&gt;="&amp;DATE($B$4,1,1),Leads!$B$6:$B$305,"&lt;"&amp;DATE($B$4+1,1,1)))</f>
        <v>0</v>
      </c>
      <c r="E84" s="67" t="n">
        <f aca="false">IF($A84="","",COUNTIFS(Leads!$K$6:$K$305,$A84,Leads!$B$6:$B$305,"&gt;="&amp;DATE($B$4,1,1),Leads!$B$6:$B$305,"&lt;"&amp;DATE($B$4+1,1,1),Leads!$N$6:$N$305,"Won"))</f>
        <v>0</v>
      </c>
      <c r="F84" s="67" t="n">
        <f aca="false">IF($A84="","",COUNTIFS(Leads!$K$6:$K$305,$A84,Leads!$B$6:$B$305,"&gt;="&amp;DATE($B$4,1,1),Leads!$B$6:$B$305,"&lt;"&amp;DATE($B$4+1,1,1),Leads!$N$6:$N$305,"Lost"))</f>
        <v>0</v>
      </c>
      <c r="G84" s="67" t="n">
        <f aca="false">IF($A84="","",D84-E84-F84)</f>
        <v>0</v>
      </c>
      <c r="H84" s="68" t="str">
        <f aca="false">IF($A84="","",IF(E84+F84=0,"–",E84/(E84+F84)))</f>
        <v>–</v>
      </c>
      <c r="I84" s="69" t="str">
        <f aca="false">IF($A84="","",IFERROR(AVERAGEIFS(Leads!$T$6:$T$305,Leads!$K$6:$K$305,$A84,Leads!$N$6:$N$305,"Won",Leads!$B$6:$B$305,"&gt;="&amp;DATE($B$4,1,1),Leads!$B$6:$B$305,"&lt;"&amp;DATE($B$4+1,1,1)),"–"))</f>
        <v>–</v>
      </c>
      <c r="J84" s="69"/>
      <c r="K84" s="69"/>
      <c r="L84" s="69" t="n">
        <f aca="false">IF($A84="","",SUMIFS(Leads!$T$6:$T$305,Leads!$K$6:$K$305,$A84,Leads!$N$6:$N$305,"Won",Leads!$B$6:$B$305,"&gt;="&amp;DATE($B$4,1,1),Leads!$B$6:$B$305,"&lt;"&amp;DATE($B$4+1,1,1)))</f>
        <v>0</v>
      </c>
      <c r="M84" s="69"/>
      <c r="N84" s="69"/>
    </row>
    <row r="85" customFormat="false" ht="24" hidden="false" customHeight="true" outlineLevel="0" collapsed="false">
      <c r="A85" s="62" t="str">
        <f aca="false">IF(Lists!$D$12="","",Lists!$D$12)</f>
        <v/>
      </c>
      <c r="B85" s="62"/>
      <c r="C85" s="62"/>
      <c r="D85" s="63" t="str">
        <f aca="false">IF($A85="","",COUNTIFS(Leads!$K$6:$K$305,$A85,Leads!$B$6:$B$305,"&gt;="&amp;DATE($B$4,1,1),Leads!$B$6:$B$305,"&lt;"&amp;DATE($B$4+1,1,1)))</f>
        <v/>
      </c>
      <c r="E85" s="63" t="str">
        <f aca="false">IF($A85="","",COUNTIFS(Leads!$K$6:$K$305,$A85,Leads!$B$6:$B$305,"&gt;="&amp;DATE($B$4,1,1),Leads!$B$6:$B$305,"&lt;"&amp;DATE($B$4+1,1,1),Leads!$N$6:$N$305,"Won"))</f>
        <v/>
      </c>
      <c r="F85" s="63" t="str">
        <f aca="false">IF($A85="","",COUNTIFS(Leads!$K$6:$K$305,$A85,Leads!$B$6:$B$305,"&gt;="&amp;DATE($B$4,1,1),Leads!$B$6:$B$305,"&lt;"&amp;DATE($B$4+1,1,1),Leads!$N$6:$N$305,"Lost"))</f>
        <v/>
      </c>
      <c r="G85" s="63" t="str">
        <f aca="false">IF($A85="","",D85-E85-F85)</f>
        <v/>
      </c>
      <c r="H85" s="64" t="str">
        <f aca="false">IF($A85="","",IF(E85+F85=0,"–",E85/(E85+F85)))</f>
        <v/>
      </c>
      <c r="I85" s="65" t="str">
        <f aca="false">IF($A85="","",IFERROR(AVERAGEIFS(Leads!$T$6:$T$305,Leads!$K$6:$K$305,$A85,Leads!$N$6:$N$305,"Won",Leads!$B$6:$B$305,"&gt;="&amp;DATE($B$4,1,1),Leads!$B$6:$B$305,"&lt;"&amp;DATE($B$4+1,1,1)),"–"))</f>
        <v/>
      </c>
      <c r="J85" s="65"/>
      <c r="K85" s="65"/>
      <c r="L85" s="65" t="str">
        <f aca="false">IF($A85="","",SUMIFS(Leads!$T$6:$T$305,Leads!$K$6:$K$305,$A85,Leads!$N$6:$N$305,"Won",Leads!$B$6:$B$305,"&gt;="&amp;DATE($B$4,1,1),Leads!$B$6:$B$305,"&lt;"&amp;DATE($B$4+1,1,1)))</f>
        <v/>
      </c>
      <c r="M85" s="65"/>
      <c r="N85" s="65"/>
    </row>
    <row r="86" customFormat="false" ht="24" hidden="false" customHeight="true" outlineLevel="0" collapsed="false">
      <c r="A86" s="66" t="str">
        <f aca="false">IF(Lists!$D$13="","",Lists!$D$13)</f>
        <v/>
      </c>
      <c r="B86" s="66"/>
      <c r="C86" s="66"/>
      <c r="D86" s="67" t="str">
        <f aca="false">IF($A86="","",COUNTIFS(Leads!$K$6:$K$305,$A86,Leads!$B$6:$B$305,"&gt;="&amp;DATE($B$4,1,1),Leads!$B$6:$B$305,"&lt;"&amp;DATE($B$4+1,1,1)))</f>
        <v/>
      </c>
      <c r="E86" s="67" t="str">
        <f aca="false">IF($A86="","",COUNTIFS(Leads!$K$6:$K$305,$A86,Leads!$B$6:$B$305,"&gt;="&amp;DATE($B$4,1,1),Leads!$B$6:$B$305,"&lt;"&amp;DATE($B$4+1,1,1),Leads!$N$6:$N$305,"Won"))</f>
        <v/>
      </c>
      <c r="F86" s="67" t="str">
        <f aca="false">IF($A86="","",COUNTIFS(Leads!$K$6:$K$305,$A86,Leads!$B$6:$B$305,"&gt;="&amp;DATE($B$4,1,1),Leads!$B$6:$B$305,"&lt;"&amp;DATE($B$4+1,1,1),Leads!$N$6:$N$305,"Lost"))</f>
        <v/>
      </c>
      <c r="G86" s="67" t="str">
        <f aca="false">IF($A86="","",D86-E86-F86)</f>
        <v/>
      </c>
      <c r="H86" s="68" t="str">
        <f aca="false">IF($A86="","",IF(E86+F86=0,"–",E86/(E86+F86)))</f>
        <v/>
      </c>
      <c r="I86" s="69" t="str">
        <f aca="false">IF($A86="","",IFERROR(AVERAGEIFS(Leads!$T$6:$T$305,Leads!$K$6:$K$305,$A86,Leads!$N$6:$N$305,"Won",Leads!$B$6:$B$305,"&gt;="&amp;DATE($B$4,1,1),Leads!$B$6:$B$305,"&lt;"&amp;DATE($B$4+1,1,1)),"–"))</f>
        <v/>
      </c>
      <c r="J86" s="69"/>
      <c r="K86" s="69"/>
      <c r="L86" s="69" t="str">
        <f aca="false">IF($A86="","",SUMIFS(Leads!$T$6:$T$305,Leads!$K$6:$K$305,$A86,Leads!$N$6:$N$305,"Won",Leads!$B$6:$B$305,"&gt;="&amp;DATE($B$4,1,1),Leads!$B$6:$B$305,"&lt;"&amp;DATE($B$4+1,1,1)))</f>
        <v/>
      </c>
      <c r="M86" s="69"/>
      <c r="N86" s="69"/>
    </row>
    <row r="87" customFormat="false" ht="24" hidden="false" customHeight="true" outlineLevel="0" collapsed="false">
      <c r="A87" s="62" t="str">
        <f aca="false">IF(Lists!$D$14="","",Lists!$D$14)</f>
        <v/>
      </c>
      <c r="B87" s="62"/>
      <c r="C87" s="62"/>
      <c r="D87" s="63" t="str">
        <f aca="false">IF($A87="","",COUNTIFS(Leads!$K$6:$K$305,$A87,Leads!$B$6:$B$305,"&gt;="&amp;DATE($B$4,1,1),Leads!$B$6:$B$305,"&lt;"&amp;DATE($B$4+1,1,1)))</f>
        <v/>
      </c>
      <c r="E87" s="63" t="str">
        <f aca="false">IF($A87="","",COUNTIFS(Leads!$K$6:$K$305,$A87,Leads!$B$6:$B$305,"&gt;="&amp;DATE($B$4,1,1),Leads!$B$6:$B$305,"&lt;"&amp;DATE($B$4+1,1,1),Leads!$N$6:$N$305,"Won"))</f>
        <v/>
      </c>
      <c r="F87" s="63" t="str">
        <f aca="false">IF($A87="","",COUNTIFS(Leads!$K$6:$K$305,$A87,Leads!$B$6:$B$305,"&gt;="&amp;DATE($B$4,1,1),Leads!$B$6:$B$305,"&lt;"&amp;DATE($B$4+1,1,1),Leads!$N$6:$N$305,"Lost"))</f>
        <v/>
      </c>
      <c r="G87" s="63" t="str">
        <f aca="false">IF($A87="","",D87-E87-F87)</f>
        <v/>
      </c>
      <c r="H87" s="64" t="str">
        <f aca="false">IF($A87="","",IF(E87+F87=0,"–",E87/(E87+F87)))</f>
        <v/>
      </c>
      <c r="I87" s="65" t="str">
        <f aca="false">IF($A87="","",IFERROR(AVERAGEIFS(Leads!$T$6:$T$305,Leads!$K$6:$K$305,$A87,Leads!$N$6:$N$305,"Won",Leads!$B$6:$B$305,"&gt;="&amp;DATE($B$4,1,1),Leads!$B$6:$B$305,"&lt;"&amp;DATE($B$4+1,1,1)),"–"))</f>
        <v/>
      </c>
      <c r="J87" s="65"/>
      <c r="K87" s="65"/>
      <c r="L87" s="65" t="str">
        <f aca="false">IF($A87="","",SUMIFS(Leads!$T$6:$T$305,Leads!$K$6:$K$305,$A87,Leads!$N$6:$N$305,"Won",Leads!$B$6:$B$305,"&gt;="&amp;DATE($B$4,1,1),Leads!$B$6:$B$305,"&lt;"&amp;DATE($B$4+1,1,1)))</f>
        <v/>
      </c>
      <c r="M87" s="65"/>
      <c r="N87" s="65"/>
    </row>
    <row r="88" customFormat="false" ht="24" hidden="false" customHeight="true" outlineLevel="0" collapsed="false">
      <c r="A88" s="66" t="str">
        <f aca="false">IF(Lists!$D$15="","",Lists!$D$15)</f>
        <v/>
      </c>
      <c r="B88" s="66"/>
      <c r="C88" s="66"/>
      <c r="D88" s="67" t="str">
        <f aca="false">IF($A88="","",COUNTIFS(Leads!$K$6:$K$305,$A88,Leads!$B$6:$B$305,"&gt;="&amp;DATE($B$4,1,1),Leads!$B$6:$B$305,"&lt;"&amp;DATE($B$4+1,1,1)))</f>
        <v/>
      </c>
      <c r="E88" s="67" t="str">
        <f aca="false">IF($A88="","",COUNTIFS(Leads!$K$6:$K$305,$A88,Leads!$B$6:$B$305,"&gt;="&amp;DATE($B$4,1,1),Leads!$B$6:$B$305,"&lt;"&amp;DATE($B$4+1,1,1),Leads!$N$6:$N$305,"Won"))</f>
        <v/>
      </c>
      <c r="F88" s="67" t="str">
        <f aca="false">IF($A88="","",COUNTIFS(Leads!$K$6:$K$305,$A88,Leads!$B$6:$B$305,"&gt;="&amp;DATE($B$4,1,1),Leads!$B$6:$B$305,"&lt;"&amp;DATE($B$4+1,1,1),Leads!$N$6:$N$305,"Lost"))</f>
        <v/>
      </c>
      <c r="G88" s="67" t="str">
        <f aca="false">IF($A88="","",D88-E88-F88)</f>
        <v/>
      </c>
      <c r="H88" s="68" t="str">
        <f aca="false">IF($A88="","",IF(E88+F88=0,"–",E88/(E88+F88)))</f>
        <v/>
      </c>
      <c r="I88" s="69" t="str">
        <f aca="false">IF($A88="","",IFERROR(AVERAGEIFS(Leads!$T$6:$T$305,Leads!$K$6:$K$305,$A88,Leads!$N$6:$N$305,"Won",Leads!$B$6:$B$305,"&gt;="&amp;DATE($B$4,1,1),Leads!$B$6:$B$305,"&lt;"&amp;DATE($B$4+1,1,1)),"–"))</f>
        <v/>
      </c>
      <c r="J88" s="69"/>
      <c r="K88" s="69"/>
      <c r="L88" s="69" t="str">
        <f aca="false">IF($A88="","",SUMIFS(Leads!$T$6:$T$305,Leads!$K$6:$K$305,$A88,Leads!$N$6:$N$305,"Won",Leads!$B$6:$B$305,"&gt;="&amp;DATE($B$4,1,1),Leads!$B$6:$B$305,"&lt;"&amp;DATE($B$4+1,1,1)))</f>
        <v/>
      </c>
      <c r="M88" s="69"/>
      <c r="N88" s="69"/>
    </row>
    <row r="89" customFormat="false" ht="24" hidden="false" customHeight="true" outlineLevel="0" collapsed="false">
      <c r="A89" s="62" t="str">
        <f aca="false">IF(Lists!$D$16="","",Lists!$D$16)</f>
        <v/>
      </c>
      <c r="B89" s="62"/>
      <c r="C89" s="62"/>
      <c r="D89" s="63" t="str">
        <f aca="false">IF($A89="","",COUNTIFS(Leads!$K$6:$K$305,$A89,Leads!$B$6:$B$305,"&gt;="&amp;DATE($B$4,1,1),Leads!$B$6:$B$305,"&lt;"&amp;DATE($B$4+1,1,1)))</f>
        <v/>
      </c>
      <c r="E89" s="63" t="str">
        <f aca="false">IF($A89="","",COUNTIFS(Leads!$K$6:$K$305,$A89,Leads!$B$6:$B$305,"&gt;="&amp;DATE($B$4,1,1),Leads!$B$6:$B$305,"&lt;"&amp;DATE($B$4+1,1,1),Leads!$N$6:$N$305,"Won"))</f>
        <v/>
      </c>
      <c r="F89" s="63" t="str">
        <f aca="false">IF($A89="","",COUNTIFS(Leads!$K$6:$K$305,$A89,Leads!$B$6:$B$305,"&gt;="&amp;DATE($B$4,1,1),Leads!$B$6:$B$305,"&lt;"&amp;DATE($B$4+1,1,1),Leads!$N$6:$N$305,"Lost"))</f>
        <v/>
      </c>
      <c r="G89" s="63" t="str">
        <f aca="false">IF($A89="","",D89-E89-F89)</f>
        <v/>
      </c>
      <c r="H89" s="64" t="str">
        <f aca="false">IF($A89="","",IF(E89+F89=0,"–",E89/(E89+F89)))</f>
        <v/>
      </c>
      <c r="I89" s="65" t="str">
        <f aca="false">IF($A89="","",IFERROR(AVERAGEIFS(Leads!$T$6:$T$305,Leads!$K$6:$K$305,$A89,Leads!$N$6:$N$305,"Won",Leads!$B$6:$B$305,"&gt;="&amp;DATE($B$4,1,1),Leads!$B$6:$B$305,"&lt;"&amp;DATE($B$4+1,1,1)),"–"))</f>
        <v/>
      </c>
      <c r="J89" s="65"/>
      <c r="K89" s="65"/>
      <c r="L89" s="65" t="str">
        <f aca="false">IF($A89="","",SUMIFS(Leads!$T$6:$T$305,Leads!$K$6:$K$305,$A89,Leads!$N$6:$N$305,"Won",Leads!$B$6:$B$305,"&gt;="&amp;DATE($B$4,1,1),Leads!$B$6:$B$305,"&lt;"&amp;DATE($B$4+1,1,1)))</f>
        <v/>
      </c>
      <c r="M89" s="65"/>
      <c r="N89" s="65"/>
    </row>
    <row r="90" customFormat="false" ht="24" hidden="false" customHeight="true" outlineLevel="0" collapsed="false">
      <c r="A90" s="66" t="str">
        <f aca="false">IF(Lists!$D$17="","",Lists!$D$17)</f>
        <v/>
      </c>
      <c r="B90" s="66"/>
      <c r="C90" s="66"/>
      <c r="D90" s="67" t="str">
        <f aca="false">IF($A90="","",COUNTIFS(Leads!$K$6:$K$305,$A90,Leads!$B$6:$B$305,"&gt;="&amp;DATE($B$4,1,1),Leads!$B$6:$B$305,"&lt;"&amp;DATE($B$4+1,1,1)))</f>
        <v/>
      </c>
      <c r="E90" s="67" t="str">
        <f aca="false">IF($A90="","",COUNTIFS(Leads!$K$6:$K$305,$A90,Leads!$B$6:$B$305,"&gt;="&amp;DATE($B$4,1,1),Leads!$B$6:$B$305,"&lt;"&amp;DATE($B$4+1,1,1),Leads!$N$6:$N$305,"Won"))</f>
        <v/>
      </c>
      <c r="F90" s="67" t="str">
        <f aca="false">IF($A90="","",COUNTIFS(Leads!$K$6:$K$305,$A90,Leads!$B$6:$B$305,"&gt;="&amp;DATE($B$4,1,1),Leads!$B$6:$B$305,"&lt;"&amp;DATE($B$4+1,1,1),Leads!$N$6:$N$305,"Lost"))</f>
        <v/>
      </c>
      <c r="G90" s="67" t="str">
        <f aca="false">IF($A90="","",D90-E90-F90)</f>
        <v/>
      </c>
      <c r="H90" s="68" t="str">
        <f aca="false">IF($A90="","",IF(E90+F90=0,"–",E90/(E90+F90)))</f>
        <v/>
      </c>
      <c r="I90" s="69" t="str">
        <f aca="false">IF($A90="","",IFERROR(AVERAGEIFS(Leads!$T$6:$T$305,Leads!$K$6:$K$305,$A90,Leads!$N$6:$N$305,"Won",Leads!$B$6:$B$305,"&gt;="&amp;DATE($B$4,1,1),Leads!$B$6:$B$305,"&lt;"&amp;DATE($B$4+1,1,1)),"–"))</f>
        <v/>
      </c>
      <c r="J90" s="69"/>
      <c r="K90" s="69"/>
      <c r="L90" s="69" t="str">
        <f aca="false">IF($A90="","",SUMIFS(Leads!$T$6:$T$305,Leads!$K$6:$K$305,$A90,Leads!$N$6:$N$305,"Won",Leads!$B$6:$B$305,"&gt;="&amp;DATE($B$4,1,1),Leads!$B$6:$B$305,"&lt;"&amp;DATE($B$4+1,1,1)))</f>
        <v/>
      </c>
      <c r="M90" s="69"/>
      <c r="N90" s="69"/>
    </row>
    <row r="91" customFormat="false" ht="24" hidden="false" customHeight="true" outlineLevel="0" collapsed="false">
      <c r="A91" s="62" t="str">
        <f aca="false">IF(Lists!$D$18="","",Lists!$D$18)</f>
        <v/>
      </c>
      <c r="B91" s="62"/>
      <c r="C91" s="62"/>
      <c r="D91" s="63" t="str">
        <f aca="false">IF($A91="","",COUNTIFS(Leads!$K$6:$K$305,$A91,Leads!$B$6:$B$305,"&gt;="&amp;DATE($B$4,1,1),Leads!$B$6:$B$305,"&lt;"&amp;DATE($B$4+1,1,1)))</f>
        <v/>
      </c>
      <c r="E91" s="63" t="str">
        <f aca="false">IF($A91="","",COUNTIFS(Leads!$K$6:$K$305,$A91,Leads!$B$6:$B$305,"&gt;="&amp;DATE($B$4,1,1),Leads!$B$6:$B$305,"&lt;"&amp;DATE($B$4+1,1,1),Leads!$N$6:$N$305,"Won"))</f>
        <v/>
      </c>
      <c r="F91" s="63" t="str">
        <f aca="false">IF($A91="","",COUNTIFS(Leads!$K$6:$K$305,$A91,Leads!$B$6:$B$305,"&gt;="&amp;DATE($B$4,1,1),Leads!$B$6:$B$305,"&lt;"&amp;DATE($B$4+1,1,1),Leads!$N$6:$N$305,"Lost"))</f>
        <v/>
      </c>
      <c r="G91" s="63" t="str">
        <f aca="false">IF($A91="","",D91-E91-F91)</f>
        <v/>
      </c>
      <c r="H91" s="64" t="str">
        <f aca="false">IF($A91="","",IF(E91+F91=0,"–",E91/(E91+F91)))</f>
        <v/>
      </c>
      <c r="I91" s="65" t="str">
        <f aca="false">IF($A91="","",IFERROR(AVERAGEIFS(Leads!$T$6:$T$305,Leads!$K$6:$K$305,$A91,Leads!$N$6:$N$305,"Won",Leads!$B$6:$B$305,"&gt;="&amp;DATE($B$4,1,1),Leads!$B$6:$B$305,"&lt;"&amp;DATE($B$4+1,1,1)),"–"))</f>
        <v/>
      </c>
      <c r="J91" s="65"/>
      <c r="K91" s="65"/>
      <c r="L91" s="65" t="str">
        <f aca="false">IF($A91="","",SUMIFS(Leads!$T$6:$T$305,Leads!$K$6:$K$305,$A91,Leads!$N$6:$N$305,"Won",Leads!$B$6:$B$305,"&gt;="&amp;DATE($B$4,1,1),Leads!$B$6:$B$305,"&lt;"&amp;DATE($B$4+1,1,1)))</f>
        <v/>
      </c>
      <c r="M91" s="65"/>
      <c r="N91" s="65"/>
    </row>
    <row r="92" customFormat="false" ht="24" hidden="false" customHeight="true" outlineLevel="0" collapsed="false">
      <c r="A92" s="66" t="str">
        <f aca="false">IF(Lists!$D$19="","",Lists!$D$19)</f>
        <v/>
      </c>
      <c r="B92" s="66"/>
      <c r="C92" s="66"/>
      <c r="D92" s="67" t="str">
        <f aca="false">IF($A92="","",COUNTIFS(Leads!$K$6:$K$305,$A92,Leads!$B$6:$B$305,"&gt;="&amp;DATE($B$4,1,1),Leads!$B$6:$B$305,"&lt;"&amp;DATE($B$4+1,1,1)))</f>
        <v/>
      </c>
      <c r="E92" s="67" t="str">
        <f aca="false">IF($A92="","",COUNTIFS(Leads!$K$6:$K$305,$A92,Leads!$B$6:$B$305,"&gt;="&amp;DATE($B$4,1,1),Leads!$B$6:$B$305,"&lt;"&amp;DATE($B$4+1,1,1),Leads!$N$6:$N$305,"Won"))</f>
        <v/>
      </c>
      <c r="F92" s="67" t="str">
        <f aca="false">IF($A92="","",COUNTIFS(Leads!$K$6:$K$305,$A92,Leads!$B$6:$B$305,"&gt;="&amp;DATE($B$4,1,1),Leads!$B$6:$B$305,"&lt;"&amp;DATE($B$4+1,1,1),Leads!$N$6:$N$305,"Lost"))</f>
        <v/>
      </c>
      <c r="G92" s="67" t="str">
        <f aca="false">IF($A92="","",D92-E92-F92)</f>
        <v/>
      </c>
      <c r="H92" s="68" t="str">
        <f aca="false">IF($A92="","",IF(E92+F92=0,"–",E92/(E92+F92)))</f>
        <v/>
      </c>
      <c r="I92" s="69" t="str">
        <f aca="false">IF($A92="","",IFERROR(AVERAGEIFS(Leads!$T$6:$T$305,Leads!$K$6:$K$305,$A92,Leads!$N$6:$N$305,"Won",Leads!$B$6:$B$305,"&gt;="&amp;DATE($B$4,1,1),Leads!$B$6:$B$305,"&lt;"&amp;DATE($B$4+1,1,1)),"–"))</f>
        <v/>
      </c>
      <c r="J92" s="69"/>
      <c r="K92" s="69"/>
      <c r="L92" s="69" t="str">
        <f aca="false">IF($A92="","",SUMIFS(Leads!$T$6:$T$305,Leads!$K$6:$K$305,$A92,Leads!$N$6:$N$305,"Won",Leads!$B$6:$B$305,"&gt;="&amp;DATE($B$4,1,1),Leads!$B$6:$B$305,"&lt;"&amp;DATE($B$4+1,1,1)))</f>
        <v/>
      </c>
      <c r="M92" s="69"/>
      <c r="N92" s="69"/>
    </row>
    <row r="93" customFormat="false" ht="24" hidden="false" customHeight="true" outlineLevel="0" collapsed="false">
      <c r="A93" s="62" t="str">
        <f aca="false">IF(Lists!$D$20="","",Lists!$D$20)</f>
        <v/>
      </c>
      <c r="B93" s="62"/>
      <c r="C93" s="62"/>
      <c r="D93" s="63" t="str">
        <f aca="false">IF($A93="","",COUNTIFS(Leads!$K$6:$K$305,$A93,Leads!$B$6:$B$305,"&gt;="&amp;DATE($B$4,1,1),Leads!$B$6:$B$305,"&lt;"&amp;DATE($B$4+1,1,1)))</f>
        <v/>
      </c>
      <c r="E93" s="63" t="str">
        <f aca="false">IF($A93="","",COUNTIFS(Leads!$K$6:$K$305,$A93,Leads!$B$6:$B$305,"&gt;="&amp;DATE($B$4,1,1),Leads!$B$6:$B$305,"&lt;"&amp;DATE($B$4+1,1,1),Leads!$N$6:$N$305,"Won"))</f>
        <v/>
      </c>
      <c r="F93" s="63" t="str">
        <f aca="false">IF($A93="","",COUNTIFS(Leads!$K$6:$K$305,$A93,Leads!$B$6:$B$305,"&gt;="&amp;DATE($B$4,1,1),Leads!$B$6:$B$305,"&lt;"&amp;DATE($B$4+1,1,1),Leads!$N$6:$N$305,"Lost"))</f>
        <v/>
      </c>
      <c r="G93" s="63" t="str">
        <f aca="false">IF($A93="","",D93-E93-F93)</f>
        <v/>
      </c>
      <c r="H93" s="64" t="str">
        <f aca="false">IF($A93="","",IF(E93+F93=0,"–",E93/(E93+F93)))</f>
        <v/>
      </c>
      <c r="I93" s="65" t="str">
        <f aca="false">IF($A93="","",IFERROR(AVERAGEIFS(Leads!$T$6:$T$305,Leads!$K$6:$K$305,$A93,Leads!$N$6:$N$305,"Won",Leads!$B$6:$B$305,"&gt;="&amp;DATE($B$4,1,1),Leads!$B$6:$B$305,"&lt;"&amp;DATE($B$4+1,1,1)),"–"))</f>
        <v/>
      </c>
      <c r="J93" s="65"/>
      <c r="K93" s="65"/>
      <c r="L93" s="65" t="str">
        <f aca="false">IF($A93="","",SUMIFS(Leads!$T$6:$T$305,Leads!$K$6:$K$305,$A93,Leads!$N$6:$N$305,"Won",Leads!$B$6:$B$305,"&gt;="&amp;DATE($B$4,1,1),Leads!$B$6:$B$305,"&lt;"&amp;DATE($B$4+1,1,1)))</f>
        <v/>
      </c>
      <c r="M93" s="65"/>
      <c r="N93" s="65"/>
    </row>
    <row r="94" customFormat="false" ht="24" hidden="false" customHeight="true" outlineLevel="0" collapsed="false">
      <c r="A94" s="66" t="str">
        <f aca="false">IF(Lists!$D$21="","",Lists!$D$21)</f>
        <v/>
      </c>
      <c r="B94" s="66"/>
      <c r="C94" s="66"/>
      <c r="D94" s="67" t="str">
        <f aca="false">IF($A94="","",COUNTIFS(Leads!$K$6:$K$305,$A94,Leads!$B$6:$B$305,"&gt;="&amp;DATE($B$4,1,1),Leads!$B$6:$B$305,"&lt;"&amp;DATE($B$4+1,1,1)))</f>
        <v/>
      </c>
      <c r="E94" s="67" t="str">
        <f aca="false">IF($A94="","",COUNTIFS(Leads!$K$6:$K$305,$A94,Leads!$B$6:$B$305,"&gt;="&amp;DATE($B$4,1,1),Leads!$B$6:$B$305,"&lt;"&amp;DATE($B$4+1,1,1),Leads!$N$6:$N$305,"Won"))</f>
        <v/>
      </c>
      <c r="F94" s="67" t="str">
        <f aca="false">IF($A94="","",COUNTIFS(Leads!$K$6:$K$305,$A94,Leads!$B$6:$B$305,"&gt;="&amp;DATE($B$4,1,1),Leads!$B$6:$B$305,"&lt;"&amp;DATE($B$4+1,1,1),Leads!$N$6:$N$305,"Lost"))</f>
        <v/>
      </c>
      <c r="G94" s="67" t="str">
        <f aca="false">IF($A94="","",D94-E94-F94)</f>
        <v/>
      </c>
      <c r="H94" s="68" t="str">
        <f aca="false">IF($A94="","",IF(E94+F94=0,"–",E94/(E94+F94)))</f>
        <v/>
      </c>
      <c r="I94" s="69" t="str">
        <f aca="false">IF($A94="","",IFERROR(AVERAGEIFS(Leads!$T$6:$T$305,Leads!$K$6:$K$305,$A94,Leads!$N$6:$N$305,"Won",Leads!$B$6:$B$305,"&gt;="&amp;DATE($B$4,1,1),Leads!$B$6:$B$305,"&lt;"&amp;DATE($B$4+1,1,1)),"–"))</f>
        <v/>
      </c>
      <c r="J94" s="69"/>
      <c r="K94" s="69"/>
      <c r="L94" s="69" t="str">
        <f aca="false">IF($A94="","",SUMIFS(Leads!$T$6:$T$305,Leads!$K$6:$K$305,$A94,Leads!$N$6:$N$305,"Won",Leads!$B$6:$B$305,"&gt;="&amp;DATE($B$4,1,1),Leads!$B$6:$B$305,"&lt;"&amp;DATE($B$4+1,1,1)))</f>
        <v/>
      </c>
      <c r="M94" s="69"/>
      <c r="N94" s="69"/>
    </row>
    <row r="95" customFormat="false" ht="24" hidden="false" customHeight="true" outlineLevel="0" collapsed="false">
      <c r="A95" s="62" t="str">
        <f aca="false">IF(Lists!$D$22="","",Lists!$D$22)</f>
        <v/>
      </c>
      <c r="B95" s="62"/>
      <c r="C95" s="62"/>
      <c r="D95" s="63" t="str">
        <f aca="false">IF($A95="","",COUNTIFS(Leads!$K$6:$K$305,$A95,Leads!$B$6:$B$305,"&gt;="&amp;DATE($B$4,1,1),Leads!$B$6:$B$305,"&lt;"&amp;DATE($B$4+1,1,1)))</f>
        <v/>
      </c>
      <c r="E95" s="63" t="str">
        <f aca="false">IF($A95="","",COUNTIFS(Leads!$K$6:$K$305,$A95,Leads!$B$6:$B$305,"&gt;="&amp;DATE($B$4,1,1),Leads!$B$6:$B$305,"&lt;"&amp;DATE($B$4+1,1,1),Leads!$N$6:$N$305,"Won"))</f>
        <v/>
      </c>
      <c r="F95" s="63" t="str">
        <f aca="false">IF($A95="","",COUNTIFS(Leads!$K$6:$K$305,$A95,Leads!$B$6:$B$305,"&gt;="&amp;DATE($B$4,1,1),Leads!$B$6:$B$305,"&lt;"&amp;DATE($B$4+1,1,1),Leads!$N$6:$N$305,"Lost"))</f>
        <v/>
      </c>
      <c r="G95" s="63" t="str">
        <f aca="false">IF($A95="","",D95-E95-F95)</f>
        <v/>
      </c>
      <c r="H95" s="64" t="str">
        <f aca="false">IF($A95="","",IF(E95+F95=0,"–",E95/(E95+F95)))</f>
        <v/>
      </c>
      <c r="I95" s="65" t="str">
        <f aca="false">IF($A95="","",IFERROR(AVERAGEIFS(Leads!$T$6:$T$305,Leads!$K$6:$K$305,$A95,Leads!$N$6:$N$305,"Won",Leads!$B$6:$B$305,"&gt;="&amp;DATE($B$4,1,1),Leads!$B$6:$B$305,"&lt;"&amp;DATE($B$4+1,1,1)),"–"))</f>
        <v/>
      </c>
      <c r="J95" s="65"/>
      <c r="K95" s="65"/>
      <c r="L95" s="65" t="str">
        <f aca="false">IF($A95="","",SUMIFS(Leads!$T$6:$T$305,Leads!$K$6:$K$305,$A95,Leads!$N$6:$N$305,"Won",Leads!$B$6:$B$305,"&gt;="&amp;DATE($B$4,1,1),Leads!$B$6:$B$305,"&lt;"&amp;DATE($B$4+1,1,1)))</f>
        <v/>
      </c>
      <c r="M95" s="65"/>
      <c r="N95" s="65"/>
    </row>
    <row r="96" customFormat="false" ht="24" hidden="false" customHeight="true" outlineLevel="0" collapsed="false">
      <c r="A96" s="66" t="str">
        <f aca="false">IF(Lists!$D$23="","",Lists!$D$23)</f>
        <v/>
      </c>
      <c r="B96" s="66"/>
      <c r="C96" s="66"/>
      <c r="D96" s="67" t="str">
        <f aca="false">IF($A96="","",COUNTIFS(Leads!$K$6:$K$305,$A96,Leads!$B$6:$B$305,"&gt;="&amp;DATE($B$4,1,1),Leads!$B$6:$B$305,"&lt;"&amp;DATE($B$4+1,1,1)))</f>
        <v/>
      </c>
      <c r="E96" s="67" t="str">
        <f aca="false">IF($A96="","",COUNTIFS(Leads!$K$6:$K$305,$A96,Leads!$B$6:$B$305,"&gt;="&amp;DATE($B$4,1,1),Leads!$B$6:$B$305,"&lt;"&amp;DATE($B$4+1,1,1),Leads!$N$6:$N$305,"Won"))</f>
        <v/>
      </c>
      <c r="F96" s="67" t="str">
        <f aca="false">IF($A96="","",COUNTIFS(Leads!$K$6:$K$305,$A96,Leads!$B$6:$B$305,"&gt;="&amp;DATE($B$4,1,1),Leads!$B$6:$B$305,"&lt;"&amp;DATE($B$4+1,1,1),Leads!$N$6:$N$305,"Lost"))</f>
        <v/>
      </c>
      <c r="G96" s="67" t="str">
        <f aca="false">IF($A96="","",D96-E96-F96)</f>
        <v/>
      </c>
      <c r="H96" s="68" t="str">
        <f aca="false">IF($A96="","",IF(E96+F96=0,"–",E96/(E96+F96)))</f>
        <v/>
      </c>
      <c r="I96" s="69" t="str">
        <f aca="false">IF($A96="","",IFERROR(AVERAGEIFS(Leads!$T$6:$T$305,Leads!$K$6:$K$305,$A96,Leads!$N$6:$N$305,"Won",Leads!$B$6:$B$305,"&gt;="&amp;DATE($B$4,1,1),Leads!$B$6:$B$305,"&lt;"&amp;DATE($B$4+1,1,1)),"–"))</f>
        <v/>
      </c>
      <c r="J96" s="69"/>
      <c r="K96" s="69"/>
      <c r="L96" s="69" t="str">
        <f aca="false">IF($A96="","",SUMIFS(Leads!$T$6:$T$305,Leads!$K$6:$K$305,$A96,Leads!$N$6:$N$305,"Won",Leads!$B$6:$B$305,"&gt;="&amp;DATE($B$4,1,1),Leads!$B$6:$B$305,"&lt;"&amp;DATE($B$4+1,1,1)))</f>
        <v/>
      </c>
      <c r="M96" s="69"/>
      <c r="N96" s="69"/>
    </row>
    <row r="97" customFormat="false" ht="24" hidden="false" customHeight="true" outlineLevel="0" collapsed="false">
      <c r="A97" s="62" t="str">
        <f aca="false">IF(Lists!$D$24="","",Lists!$D$24)</f>
        <v/>
      </c>
      <c r="B97" s="62"/>
      <c r="C97" s="62"/>
      <c r="D97" s="63" t="str">
        <f aca="false">IF($A97="","",COUNTIFS(Leads!$K$6:$K$305,$A97,Leads!$B$6:$B$305,"&gt;="&amp;DATE($B$4,1,1),Leads!$B$6:$B$305,"&lt;"&amp;DATE($B$4+1,1,1)))</f>
        <v/>
      </c>
      <c r="E97" s="63" t="str">
        <f aca="false">IF($A97="","",COUNTIFS(Leads!$K$6:$K$305,$A97,Leads!$B$6:$B$305,"&gt;="&amp;DATE($B$4,1,1),Leads!$B$6:$B$305,"&lt;"&amp;DATE($B$4+1,1,1),Leads!$N$6:$N$305,"Won"))</f>
        <v/>
      </c>
      <c r="F97" s="63" t="str">
        <f aca="false">IF($A97="","",COUNTIFS(Leads!$K$6:$K$305,$A97,Leads!$B$6:$B$305,"&gt;="&amp;DATE($B$4,1,1),Leads!$B$6:$B$305,"&lt;"&amp;DATE($B$4+1,1,1),Leads!$N$6:$N$305,"Lost"))</f>
        <v/>
      </c>
      <c r="G97" s="63" t="str">
        <f aca="false">IF($A97="","",D97-E97-F97)</f>
        <v/>
      </c>
      <c r="H97" s="64" t="str">
        <f aca="false">IF($A97="","",IF(E97+F97=0,"–",E97/(E97+F97)))</f>
        <v/>
      </c>
      <c r="I97" s="65" t="str">
        <f aca="false">IF($A97="","",IFERROR(AVERAGEIFS(Leads!$T$6:$T$305,Leads!$K$6:$K$305,$A97,Leads!$N$6:$N$305,"Won",Leads!$B$6:$B$305,"&gt;="&amp;DATE($B$4,1,1),Leads!$B$6:$B$305,"&lt;"&amp;DATE($B$4+1,1,1)),"–"))</f>
        <v/>
      </c>
      <c r="J97" s="65"/>
      <c r="K97" s="65"/>
      <c r="L97" s="65" t="str">
        <f aca="false">IF($A97="","",SUMIFS(Leads!$T$6:$T$305,Leads!$K$6:$K$305,$A97,Leads!$N$6:$N$305,"Won",Leads!$B$6:$B$305,"&gt;="&amp;DATE($B$4,1,1),Leads!$B$6:$B$305,"&lt;"&amp;DATE($B$4+1,1,1)))</f>
        <v/>
      </c>
      <c r="M97" s="65"/>
      <c r="N97" s="65"/>
    </row>
    <row r="98" customFormat="false" ht="24" hidden="false" customHeight="true" outlineLevel="0" collapsed="false">
      <c r="A98" s="66" t="str">
        <f aca="false">IF(Lists!$D$25="","",Lists!$D$25)</f>
        <v/>
      </c>
      <c r="B98" s="66"/>
      <c r="C98" s="66"/>
      <c r="D98" s="67" t="str">
        <f aca="false">IF($A98="","",COUNTIFS(Leads!$K$6:$K$305,$A98,Leads!$B$6:$B$305,"&gt;="&amp;DATE($B$4,1,1),Leads!$B$6:$B$305,"&lt;"&amp;DATE($B$4+1,1,1)))</f>
        <v/>
      </c>
      <c r="E98" s="67" t="str">
        <f aca="false">IF($A98="","",COUNTIFS(Leads!$K$6:$K$305,$A98,Leads!$B$6:$B$305,"&gt;="&amp;DATE($B$4,1,1),Leads!$B$6:$B$305,"&lt;"&amp;DATE($B$4+1,1,1),Leads!$N$6:$N$305,"Won"))</f>
        <v/>
      </c>
      <c r="F98" s="67" t="str">
        <f aca="false">IF($A98="","",COUNTIFS(Leads!$K$6:$K$305,$A98,Leads!$B$6:$B$305,"&gt;="&amp;DATE($B$4,1,1),Leads!$B$6:$B$305,"&lt;"&amp;DATE($B$4+1,1,1),Leads!$N$6:$N$305,"Lost"))</f>
        <v/>
      </c>
      <c r="G98" s="67" t="str">
        <f aca="false">IF($A98="","",D98-E98-F98)</f>
        <v/>
      </c>
      <c r="H98" s="68" t="str">
        <f aca="false">IF($A98="","",IF(E98+F98=0,"–",E98/(E98+F98)))</f>
        <v/>
      </c>
      <c r="I98" s="69" t="str">
        <f aca="false">IF($A98="","",IFERROR(AVERAGEIFS(Leads!$T$6:$T$305,Leads!$K$6:$K$305,$A98,Leads!$N$6:$N$305,"Won",Leads!$B$6:$B$305,"&gt;="&amp;DATE($B$4,1,1),Leads!$B$6:$B$305,"&lt;"&amp;DATE($B$4+1,1,1)),"–"))</f>
        <v/>
      </c>
      <c r="J98" s="69"/>
      <c r="K98" s="69"/>
      <c r="L98" s="69" t="str">
        <f aca="false">IF($A98="","",SUMIFS(Leads!$T$6:$T$305,Leads!$K$6:$K$305,$A98,Leads!$N$6:$N$305,"Won",Leads!$B$6:$B$305,"&gt;="&amp;DATE($B$4,1,1),Leads!$B$6:$B$305,"&lt;"&amp;DATE($B$4+1,1,1)))</f>
        <v/>
      </c>
      <c r="M98" s="69"/>
      <c r="N98" s="69"/>
    </row>
    <row r="99" customFormat="false" ht="24" hidden="false" customHeight="true" outlineLevel="0" collapsed="false">
      <c r="A99" s="62" t="str">
        <f aca="false">IF(Lists!$D$26="","",Lists!$D$26)</f>
        <v/>
      </c>
      <c r="B99" s="62"/>
      <c r="C99" s="62"/>
      <c r="D99" s="63" t="str">
        <f aca="false">IF($A99="","",COUNTIFS(Leads!$K$6:$K$305,$A99,Leads!$B$6:$B$305,"&gt;="&amp;DATE($B$4,1,1),Leads!$B$6:$B$305,"&lt;"&amp;DATE($B$4+1,1,1)))</f>
        <v/>
      </c>
      <c r="E99" s="63" t="str">
        <f aca="false">IF($A99="","",COUNTIFS(Leads!$K$6:$K$305,$A99,Leads!$B$6:$B$305,"&gt;="&amp;DATE($B$4,1,1),Leads!$B$6:$B$305,"&lt;"&amp;DATE($B$4+1,1,1),Leads!$N$6:$N$305,"Won"))</f>
        <v/>
      </c>
      <c r="F99" s="63" t="str">
        <f aca="false">IF($A99="","",COUNTIFS(Leads!$K$6:$K$305,$A99,Leads!$B$6:$B$305,"&gt;="&amp;DATE($B$4,1,1),Leads!$B$6:$B$305,"&lt;"&amp;DATE($B$4+1,1,1),Leads!$N$6:$N$305,"Lost"))</f>
        <v/>
      </c>
      <c r="G99" s="63" t="str">
        <f aca="false">IF($A99="","",D99-E99-F99)</f>
        <v/>
      </c>
      <c r="H99" s="64" t="str">
        <f aca="false">IF($A99="","",IF(E99+F99=0,"–",E99/(E99+F99)))</f>
        <v/>
      </c>
      <c r="I99" s="65" t="str">
        <f aca="false">IF($A99="","",IFERROR(AVERAGEIFS(Leads!$T$6:$T$305,Leads!$K$6:$K$305,$A99,Leads!$N$6:$N$305,"Won",Leads!$B$6:$B$305,"&gt;="&amp;DATE($B$4,1,1),Leads!$B$6:$B$305,"&lt;"&amp;DATE($B$4+1,1,1)),"–"))</f>
        <v/>
      </c>
      <c r="J99" s="65"/>
      <c r="K99" s="65"/>
      <c r="L99" s="65" t="str">
        <f aca="false">IF($A99="","",SUMIFS(Leads!$T$6:$T$305,Leads!$K$6:$K$305,$A99,Leads!$N$6:$N$305,"Won",Leads!$B$6:$B$305,"&gt;="&amp;DATE($B$4,1,1),Leads!$B$6:$B$305,"&lt;"&amp;DATE($B$4+1,1,1)))</f>
        <v/>
      </c>
      <c r="M99" s="65"/>
      <c r="N99" s="65"/>
    </row>
    <row r="100" customFormat="false" ht="24" hidden="false" customHeight="true" outlineLevel="0" collapsed="false">
      <c r="A100" s="66" t="str">
        <f aca="false">IF(Lists!$D$27="","",Lists!$D$27)</f>
        <v/>
      </c>
      <c r="B100" s="66"/>
      <c r="C100" s="66"/>
      <c r="D100" s="67" t="str">
        <f aca="false">IF($A100="","",COUNTIFS(Leads!$K$6:$K$305,$A100,Leads!$B$6:$B$305,"&gt;="&amp;DATE($B$4,1,1),Leads!$B$6:$B$305,"&lt;"&amp;DATE($B$4+1,1,1)))</f>
        <v/>
      </c>
      <c r="E100" s="67" t="str">
        <f aca="false">IF($A100="","",COUNTIFS(Leads!$K$6:$K$305,$A100,Leads!$B$6:$B$305,"&gt;="&amp;DATE($B$4,1,1),Leads!$B$6:$B$305,"&lt;"&amp;DATE($B$4+1,1,1),Leads!$N$6:$N$305,"Won"))</f>
        <v/>
      </c>
      <c r="F100" s="67" t="str">
        <f aca="false">IF($A100="","",COUNTIFS(Leads!$K$6:$K$305,$A100,Leads!$B$6:$B$305,"&gt;="&amp;DATE($B$4,1,1),Leads!$B$6:$B$305,"&lt;"&amp;DATE($B$4+1,1,1),Leads!$N$6:$N$305,"Lost"))</f>
        <v/>
      </c>
      <c r="G100" s="67" t="str">
        <f aca="false">IF($A100="","",D100-E100-F100)</f>
        <v/>
      </c>
      <c r="H100" s="68" t="str">
        <f aca="false">IF($A100="","",IF(E100+F100=0,"–",E100/(E100+F100)))</f>
        <v/>
      </c>
      <c r="I100" s="69" t="str">
        <f aca="false">IF($A100="","",IFERROR(AVERAGEIFS(Leads!$T$6:$T$305,Leads!$K$6:$K$305,$A100,Leads!$N$6:$N$305,"Won",Leads!$B$6:$B$305,"&gt;="&amp;DATE($B$4,1,1),Leads!$B$6:$B$305,"&lt;"&amp;DATE($B$4+1,1,1)),"–"))</f>
        <v/>
      </c>
      <c r="J100" s="69"/>
      <c r="K100" s="69"/>
      <c r="L100" s="69" t="str">
        <f aca="false">IF($A100="","",SUMIFS(Leads!$T$6:$T$305,Leads!$K$6:$K$305,$A100,Leads!$N$6:$N$305,"Won",Leads!$B$6:$B$305,"&gt;="&amp;DATE($B$4,1,1),Leads!$B$6:$B$305,"&lt;"&amp;DATE($B$4+1,1,1)))</f>
        <v/>
      </c>
      <c r="M100" s="69"/>
      <c r="N100" s="69"/>
    </row>
    <row r="101" customFormat="false" ht="24" hidden="false" customHeight="true" outlineLevel="0" collapsed="false">
      <c r="A101" s="62" t="str">
        <f aca="false">IF(Lists!$D$28="","",Lists!$D$28)</f>
        <v/>
      </c>
      <c r="B101" s="62"/>
      <c r="C101" s="62"/>
      <c r="D101" s="63" t="str">
        <f aca="false">IF($A101="","",COUNTIFS(Leads!$K$6:$K$305,$A101,Leads!$B$6:$B$305,"&gt;="&amp;DATE($B$4,1,1),Leads!$B$6:$B$305,"&lt;"&amp;DATE($B$4+1,1,1)))</f>
        <v/>
      </c>
      <c r="E101" s="63" t="str">
        <f aca="false">IF($A101="","",COUNTIFS(Leads!$K$6:$K$305,$A101,Leads!$B$6:$B$305,"&gt;="&amp;DATE($B$4,1,1),Leads!$B$6:$B$305,"&lt;"&amp;DATE($B$4+1,1,1),Leads!$N$6:$N$305,"Won"))</f>
        <v/>
      </c>
      <c r="F101" s="63" t="str">
        <f aca="false">IF($A101="","",COUNTIFS(Leads!$K$6:$K$305,$A101,Leads!$B$6:$B$305,"&gt;="&amp;DATE($B$4,1,1),Leads!$B$6:$B$305,"&lt;"&amp;DATE($B$4+1,1,1),Leads!$N$6:$N$305,"Lost"))</f>
        <v/>
      </c>
      <c r="G101" s="63" t="str">
        <f aca="false">IF($A101="","",D101-E101-F101)</f>
        <v/>
      </c>
      <c r="H101" s="64" t="str">
        <f aca="false">IF($A101="","",IF(E101+F101=0,"–",E101/(E101+F101)))</f>
        <v/>
      </c>
      <c r="I101" s="65" t="str">
        <f aca="false">IF($A101="","",IFERROR(AVERAGEIFS(Leads!$T$6:$T$305,Leads!$K$6:$K$305,$A101,Leads!$N$6:$N$305,"Won",Leads!$B$6:$B$305,"&gt;="&amp;DATE($B$4,1,1),Leads!$B$6:$B$305,"&lt;"&amp;DATE($B$4+1,1,1)),"–"))</f>
        <v/>
      </c>
      <c r="J101" s="65"/>
      <c r="K101" s="65"/>
      <c r="L101" s="65" t="str">
        <f aca="false">IF($A101="","",SUMIFS(Leads!$T$6:$T$305,Leads!$K$6:$K$305,$A101,Leads!$N$6:$N$305,"Won",Leads!$B$6:$B$305,"&gt;="&amp;DATE($B$4,1,1),Leads!$B$6:$B$305,"&lt;"&amp;DATE($B$4+1,1,1)))</f>
        <v/>
      </c>
      <c r="M101" s="65"/>
      <c r="N101" s="65"/>
    </row>
    <row r="102" customFormat="false" ht="24" hidden="false" customHeight="true" outlineLevel="0" collapsed="false">
      <c r="A102" s="66" t="str">
        <f aca="false">IF(Lists!$D$29="","",Lists!$D$29)</f>
        <v/>
      </c>
      <c r="B102" s="66"/>
      <c r="C102" s="66"/>
      <c r="D102" s="67" t="str">
        <f aca="false">IF($A102="","",COUNTIFS(Leads!$K$6:$K$305,$A102,Leads!$B$6:$B$305,"&gt;="&amp;DATE($B$4,1,1),Leads!$B$6:$B$305,"&lt;"&amp;DATE($B$4+1,1,1)))</f>
        <v/>
      </c>
      <c r="E102" s="67" t="str">
        <f aca="false">IF($A102="","",COUNTIFS(Leads!$K$6:$K$305,$A102,Leads!$B$6:$B$305,"&gt;="&amp;DATE($B$4,1,1),Leads!$B$6:$B$305,"&lt;"&amp;DATE($B$4+1,1,1),Leads!$N$6:$N$305,"Won"))</f>
        <v/>
      </c>
      <c r="F102" s="67" t="str">
        <f aca="false">IF($A102="","",COUNTIFS(Leads!$K$6:$K$305,$A102,Leads!$B$6:$B$305,"&gt;="&amp;DATE($B$4,1,1),Leads!$B$6:$B$305,"&lt;"&amp;DATE($B$4+1,1,1),Leads!$N$6:$N$305,"Lost"))</f>
        <v/>
      </c>
      <c r="G102" s="67" t="str">
        <f aca="false">IF($A102="","",D102-E102-F102)</f>
        <v/>
      </c>
      <c r="H102" s="68" t="str">
        <f aca="false">IF($A102="","",IF(E102+F102=0,"–",E102/(E102+F102)))</f>
        <v/>
      </c>
      <c r="I102" s="69" t="str">
        <f aca="false">IF($A102="","",IFERROR(AVERAGEIFS(Leads!$T$6:$T$305,Leads!$K$6:$K$305,$A102,Leads!$N$6:$N$305,"Won",Leads!$B$6:$B$305,"&gt;="&amp;DATE($B$4,1,1),Leads!$B$6:$B$305,"&lt;"&amp;DATE($B$4+1,1,1)),"–"))</f>
        <v/>
      </c>
      <c r="J102" s="69"/>
      <c r="K102" s="69"/>
      <c r="L102" s="69" t="str">
        <f aca="false">IF($A102="","",SUMIFS(Leads!$T$6:$T$305,Leads!$K$6:$K$305,$A102,Leads!$N$6:$N$305,"Won",Leads!$B$6:$B$305,"&gt;="&amp;DATE($B$4,1,1),Leads!$B$6:$B$305,"&lt;"&amp;DATE($B$4+1,1,1)))</f>
        <v/>
      </c>
      <c r="M102" s="69"/>
      <c r="N102" s="69"/>
    </row>
    <row r="103" customFormat="false" ht="24" hidden="false" customHeight="true" outlineLevel="0" collapsed="false">
      <c r="A103" s="62" t="str">
        <f aca="false">IF(Lists!$D$30="","",Lists!$D$30)</f>
        <v/>
      </c>
      <c r="B103" s="62"/>
      <c r="C103" s="62"/>
      <c r="D103" s="63" t="str">
        <f aca="false">IF($A103="","",COUNTIFS(Leads!$K$6:$K$305,$A103,Leads!$B$6:$B$305,"&gt;="&amp;DATE($B$4,1,1),Leads!$B$6:$B$305,"&lt;"&amp;DATE($B$4+1,1,1)))</f>
        <v/>
      </c>
      <c r="E103" s="63" t="str">
        <f aca="false">IF($A103="","",COUNTIFS(Leads!$K$6:$K$305,$A103,Leads!$B$6:$B$305,"&gt;="&amp;DATE($B$4,1,1),Leads!$B$6:$B$305,"&lt;"&amp;DATE($B$4+1,1,1),Leads!$N$6:$N$305,"Won"))</f>
        <v/>
      </c>
      <c r="F103" s="63" t="str">
        <f aca="false">IF($A103="","",COUNTIFS(Leads!$K$6:$K$305,$A103,Leads!$B$6:$B$305,"&gt;="&amp;DATE($B$4,1,1),Leads!$B$6:$B$305,"&lt;"&amp;DATE($B$4+1,1,1),Leads!$N$6:$N$305,"Lost"))</f>
        <v/>
      </c>
      <c r="G103" s="63" t="str">
        <f aca="false">IF($A103="","",D103-E103-F103)</f>
        <v/>
      </c>
      <c r="H103" s="64" t="str">
        <f aca="false">IF($A103="","",IF(E103+F103=0,"–",E103/(E103+F103)))</f>
        <v/>
      </c>
      <c r="I103" s="65" t="str">
        <f aca="false">IF($A103="","",IFERROR(AVERAGEIFS(Leads!$T$6:$T$305,Leads!$K$6:$K$305,$A103,Leads!$N$6:$N$305,"Won",Leads!$B$6:$B$305,"&gt;="&amp;DATE($B$4,1,1),Leads!$B$6:$B$305,"&lt;"&amp;DATE($B$4+1,1,1)),"–"))</f>
        <v/>
      </c>
      <c r="J103" s="65"/>
      <c r="K103" s="65"/>
      <c r="L103" s="65" t="str">
        <f aca="false">IF($A103="","",SUMIFS(Leads!$T$6:$T$305,Leads!$K$6:$K$305,$A103,Leads!$N$6:$N$305,"Won",Leads!$B$6:$B$305,"&gt;="&amp;DATE($B$4,1,1),Leads!$B$6:$B$305,"&lt;"&amp;DATE($B$4+1,1,1)))</f>
        <v/>
      </c>
      <c r="M103" s="65"/>
      <c r="N103" s="65"/>
    </row>
    <row r="104" customFormat="false" ht="24" hidden="false" customHeight="true" outlineLevel="0" collapsed="false">
      <c r="A104" s="66" t="str">
        <f aca="false">IF(Lists!$D$31="","",Lists!$D$31)</f>
        <v/>
      </c>
      <c r="B104" s="66"/>
      <c r="C104" s="66"/>
      <c r="D104" s="67" t="str">
        <f aca="false">IF($A104="","",COUNTIFS(Leads!$K$6:$K$305,$A104,Leads!$B$6:$B$305,"&gt;="&amp;DATE($B$4,1,1),Leads!$B$6:$B$305,"&lt;"&amp;DATE($B$4+1,1,1)))</f>
        <v/>
      </c>
      <c r="E104" s="67" t="str">
        <f aca="false">IF($A104="","",COUNTIFS(Leads!$K$6:$K$305,$A104,Leads!$B$6:$B$305,"&gt;="&amp;DATE($B$4,1,1),Leads!$B$6:$B$305,"&lt;"&amp;DATE($B$4+1,1,1),Leads!$N$6:$N$305,"Won"))</f>
        <v/>
      </c>
      <c r="F104" s="67" t="str">
        <f aca="false">IF($A104="","",COUNTIFS(Leads!$K$6:$K$305,$A104,Leads!$B$6:$B$305,"&gt;="&amp;DATE($B$4,1,1),Leads!$B$6:$B$305,"&lt;"&amp;DATE($B$4+1,1,1),Leads!$N$6:$N$305,"Lost"))</f>
        <v/>
      </c>
      <c r="G104" s="67" t="str">
        <f aca="false">IF($A104="","",D104-E104-F104)</f>
        <v/>
      </c>
      <c r="H104" s="68" t="str">
        <f aca="false">IF($A104="","",IF(E104+F104=0,"–",E104/(E104+F104)))</f>
        <v/>
      </c>
      <c r="I104" s="69" t="str">
        <f aca="false">IF($A104="","",IFERROR(AVERAGEIFS(Leads!$T$6:$T$305,Leads!$K$6:$K$305,$A104,Leads!$N$6:$N$305,"Won",Leads!$B$6:$B$305,"&gt;="&amp;DATE($B$4,1,1),Leads!$B$6:$B$305,"&lt;"&amp;DATE($B$4+1,1,1)),"–"))</f>
        <v/>
      </c>
      <c r="J104" s="69"/>
      <c r="K104" s="69"/>
      <c r="L104" s="69" t="str">
        <f aca="false">IF($A104="","",SUMIFS(Leads!$T$6:$T$305,Leads!$K$6:$K$305,$A104,Leads!$N$6:$N$305,"Won",Leads!$B$6:$B$305,"&gt;="&amp;DATE($B$4,1,1),Leads!$B$6:$B$305,"&lt;"&amp;DATE($B$4+1,1,1)))</f>
        <v/>
      </c>
      <c r="M104" s="69"/>
      <c r="N104" s="69"/>
    </row>
    <row r="105" customFormat="false" ht="15" hidden="false" customHeight="false" outlineLevel="0" collapsed="false">
      <c r="A105" s="25" t="s">
        <v>228</v>
      </c>
      <c r="B105" s="25"/>
      <c r="C105" s="25"/>
      <c r="D105" s="25"/>
      <c r="E105" s="25"/>
      <c r="F105" s="25"/>
      <c r="G105" s="25"/>
      <c r="H105" s="25"/>
      <c r="I105" s="25"/>
      <c r="J105" s="25"/>
      <c r="K105" s="25"/>
      <c r="L105" s="25"/>
      <c r="M105" s="25"/>
      <c r="N105" s="25"/>
    </row>
    <row r="107" customFormat="false" ht="21.75" hidden="false" customHeight="true" outlineLevel="0" collapsed="false">
      <c r="A107" s="4" t="str">
        <f aca="false">"TENDERS – results in "&amp;$B$4</f>
        <v>TENDERS – results in 2026</v>
      </c>
      <c r="B107" s="5"/>
      <c r="C107" s="5"/>
      <c r="D107" s="5"/>
      <c r="E107" s="5"/>
      <c r="F107" s="5"/>
      <c r="G107" s="5"/>
      <c r="H107" s="5"/>
      <c r="I107" s="5"/>
      <c r="J107" s="5"/>
      <c r="K107" s="5"/>
      <c r="L107" s="5"/>
      <c r="M107" s="5"/>
      <c r="N107" s="5"/>
    </row>
    <row r="108" customFormat="false" ht="15" hidden="false" customHeight="false" outlineLevel="0" collapsed="false">
      <c r="A108" s="48" t="s">
        <v>206</v>
      </c>
      <c r="B108" s="48"/>
      <c r="C108" s="48"/>
      <c r="D108" s="70" t="n">
        <f aca="false">COUNTIFS(Tenders!$L$6:$L$105,"Won",Tenders!$N$6:$N$105,"&gt;="&amp;DATE($B$4,1,1),Tenders!$N$6:$N$105,"&lt;"&amp;DATE($B$4+1,1,1))</f>
        <v>0</v>
      </c>
    </row>
    <row r="109" customFormat="false" ht="15" hidden="false" customHeight="false" outlineLevel="0" collapsed="false">
      <c r="A109" s="48" t="s">
        <v>207</v>
      </c>
      <c r="B109" s="48"/>
      <c r="C109" s="48"/>
      <c r="D109" s="70" t="n">
        <f aca="false">COUNTIFS(Tenders!$L$6:$L$105,"Lost",Tenders!$N$6:$N$105,"&gt;="&amp;DATE($B$4,1,1),Tenders!$N$6:$N$105,"&lt;"&amp;DATE($B$4+1,1,1))</f>
        <v>0</v>
      </c>
    </row>
    <row r="110" customFormat="false" ht="15" hidden="false" customHeight="false" outlineLevel="0" collapsed="false">
      <c r="A110" s="48" t="s">
        <v>208</v>
      </c>
      <c r="B110" s="48"/>
      <c r="C110" s="48"/>
      <c r="D110" s="71" t="str">
        <f aca="false">IF(D108+D109=0,"–",D108/(D108+D109))</f>
        <v>–</v>
      </c>
    </row>
    <row r="111" customFormat="false" ht="15" hidden="false" customHeight="false" outlineLevel="0" collapsed="false">
      <c r="A111" s="48" t="s">
        <v>229</v>
      </c>
      <c r="B111" s="48"/>
      <c r="C111" s="48"/>
      <c r="D111" s="70" t="str">
        <f aca="false">IFERROR(AVERAGEIFS(Tenders!$I$6:$I$105,Tenders!$L$6:$L$105,"Won",Tenders!$N$6:$N$105,"&gt;="&amp;DATE($B$4,1,1),Tenders!$N$6:$N$105,"&lt;"&amp;DATE($B$4+1,1,1)),"–")</f>
        <v>–</v>
      </c>
    </row>
    <row r="112" customFormat="false" ht="15" hidden="false" customHeight="false" outlineLevel="0" collapsed="false">
      <c r="A112" s="48" t="s">
        <v>230</v>
      </c>
      <c r="B112" s="48"/>
      <c r="C112" s="48"/>
      <c r="D112" s="70" t="str">
        <f aca="false">IFERROR(AVERAGEIFS(Tenders!$I$6:$I$105,Tenders!$L$6:$L$105,"Lost",Tenders!$N$6:$N$105,"&gt;="&amp;DATE($B$4,1,1),Tenders!$N$6:$N$105,"&lt;"&amp;DATE($B$4+1,1,1)),"–")</f>
        <v>–</v>
      </c>
    </row>
    <row r="113" customFormat="false" ht="15" hidden="false" customHeight="false" outlineLevel="0" collapsed="false">
      <c r="A113" s="25" t="s">
        <v>231</v>
      </c>
      <c r="B113" s="25"/>
      <c r="C113" s="25"/>
      <c r="D113" s="25"/>
      <c r="E113" s="25"/>
      <c r="F113" s="25"/>
      <c r="G113" s="25"/>
      <c r="H113" s="25"/>
      <c r="I113" s="25"/>
      <c r="J113" s="25"/>
      <c r="K113" s="25"/>
      <c r="L113" s="25"/>
      <c r="M113" s="25"/>
      <c r="N113" s="25"/>
    </row>
  </sheetData>
  <sheetProtection sheet="true" formatColumns="false" formatRows="false" sort="false" autoFilter="false"/>
  <mergeCells count="195">
    <mergeCell ref="A21:N21"/>
    <mergeCell ref="A40:C40"/>
    <mergeCell ref="I40:K40"/>
    <mergeCell ref="L40:N40"/>
    <mergeCell ref="A41:C41"/>
    <mergeCell ref="I41:K41"/>
    <mergeCell ref="L41:N41"/>
    <mergeCell ref="A42:C42"/>
    <mergeCell ref="I42:K42"/>
    <mergeCell ref="L42:N42"/>
    <mergeCell ref="A43:C43"/>
    <mergeCell ref="I43:K43"/>
    <mergeCell ref="L43:N43"/>
    <mergeCell ref="A44:C44"/>
    <mergeCell ref="I44:K44"/>
    <mergeCell ref="L44:N44"/>
    <mergeCell ref="A45:C45"/>
    <mergeCell ref="I45:K45"/>
    <mergeCell ref="L45:N45"/>
    <mergeCell ref="A46:C46"/>
    <mergeCell ref="I46:K46"/>
    <mergeCell ref="L46:N46"/>
    <mergeCell ref="A47:C47"/>
    <mergeCell ref="I47:K47"/>
    <mergeCell ref="L47:N47"/>
    <mergeCell ref="A48:C48"/>
    <mergeCell ref="I48:K48"/>
    <mergeCell ref="L48:N48"/>
    <mergeCell ref="A49:C49"/>
    <mergeCell ref="I49:K49"/>
    <mergeCell ref="L49:N49"/>
    <mergeCell ref="A50:C50"/>
    <mergeCell ref="I50:K50"/>
    <mergeCell ref="L50:N50"/>
    <mergeCell ref="A51:C51"/>
    <mergeCell ref="I51:K51"/>
    <mergeCell ref="L51:N51"/>
    <mergeCell ref="A52:C52"/>
    <mergeCell ref="I52:K52"/>
    <mergeCell ref="L52:N52"/>
    <mergeCell ref="A53:C53"/>
    <mergeCell ref="I53:K53"/>
    <mergeCell ref="L53:N53"/>
    <mergeCell ref="A54:C54"/>
    <mergeCell ref="I54:K54"/>
    <mergeCell ref="L54:N54"/>
    <mergeCell ref="A55:C55"/>
    <mergeCell ref="I55:K55"/>
    <mergeCell ref="L55:N55"/>
    <mergeCell ref="A56:C56"/>
    <mergeCell ref="I56:K56"/>
    <mergeCell ref="L56:N56"/>
    <mergeCell ref="A57:C57"/>
    <mergeCell ref="I57:K57"/>
    <mergeCell ref="L57:N57"/>
    <mergeCell ref="A58:C58"/>
    <mergeCell ref="I58:K58"/>
    <mergeCell ref="L58:N58"/>
    <mergeCell ref="A59:C59"/>
    <mergeCell ref="I59:K59"/>
    <mergeCell ref="L59:N59"/>
    <mergeCell ref="A60:C60"/>
    <mergeCell ref="I60:K60"/>
    <mergeCell ref="L60:N60"/>
    <mergeCell ref="A61:C61"/>
    <mergeCell ref="I61:K61"/>
    <mergeCell ref="L61:N61"/>
    <mergeCell ref="A62:C62"/>
    <mergeCell ref="I62:K62"/>
    <mergeCell ref="L62:N62"/>
    <mergeCell ref="A63:C63"/>
    <mergeCell ref="I63:K63"/>
    <mergeCell ref="L63:N63"/>
    <mergeCell ref="A64:C64"/>
    <mergeCell ref="I64:K64"/>
    <mergeCell ref="L64:N64"/>
    <mergeCell ref="A65:C65"/>
    <mergeCell ref="I65:K65"/>
    <mergeCell ref="L65:N65"/>
    <mergeCell ref="A66:C66"/>
    <mergeCell ref="I66:K66"/>
    <mergeCell ref="L66:N66"/>
    <mergeCell ref="A67:C67"/>
    <mergeCell ref="I67:K67"/>
    <mergeCell ref="L67:N67"/>
    <mergeCell ref="A68:C68"/>
    <mergeCell ref="I68:K68"/>
    <mergeCell ref="L68:N68"/>
    <mergeCell ref="A69:C69"/>
    <mergeCell ref="I69:K69"/>
    <mergeCell ref="L69:N69"/>
    <mergeCell ref="A70:C70"/>
    <mergeCell ref="I70:K70"/>
    <mergeCell ref="L70:N70"/>
    <mergeCell ref="A71:N71"/>
    <mergeCell ref="A74:C74"/>
    <mergeCell ref="I74:K74"/>
    <mergeCell ref="L74:N74"/>
    <mergeCell ref="A75:C75"/>
    <mergeCell ref="I75:K75"/>
    <mergeCell ref="L75:N75"/>
    <mergeCell ref="A76:C76"/>
    <mergeCell ref="I76:K76"/>
    <mergeCell ref="L76:N76"/>
    <mergeCell ref="A77:C77"/>
    <mergeCell ref="I77:K77"/>
    <mergeCell ref="L77:N77"/>
    <mergeCell ref="A78:C78"/>
    <mergeCell ref="I78:K78"/>
    <mergeCell ref="L78:N78"/>
    <mergeCell ref="A79:C79"/>
    <mergeCell ref="I79:K79"/>
    <mergeCell ref="L79:N79"/>
    <mergeCell ref="A80:C80"/>
    <mergeCell ref="I80:K80"/>
    <mergeCell ref="L80:N80"/>
    <mergeCell ref="A81:C81"/>
    <mergeCell ref="I81:K81"/>
    <mergeCell ref="L81:N81"/>
    <mergeCell ref="A82:C82"/>
    <mergeCell ref="I82:K82"/>
    <mergeCell ref="L82:N82"/>
    <mergeCell ref="A83:C83"/>
    <mergeCell ref="I83:K83"/>
    <mergeCell ref="L83:N83"/>
    <mergeCell ref="A84:C84"/>
    <mergeCell ref="I84:K84"/>
    <mergeCell ref="L84:N84"/>
    <mergeCell ref="A85:C85"/>
    <mergeCell ref="I85:K85"/>
    <mergeCell ref="L85:N85"/>
    <mergeCell ref="A86:C86"/>
    <mergeCell ref="I86:K86"/>
    <mergeCell ref="L86:N86"/>
    <mergeCell ref="A87:C87"/>
    <mergeCell ref="I87:K87"/>
    <mergeCell ref="L87:N87"/>
    <mergeCell ref="A88:C88"/>
    <mergeCell ref="I88:K88"/>
    <mergeCell ref="L88:N88"/>
    <mergeCell ref="A89:C89"/>
    <mergeCell ref="I89:K89"/>
    <mergeCell ref="L89:N89"/>
    <mergeCell ref="A90:C90"/>
    <mergeCell ref="I90:K90"/>
    <mergeCell ref="L90:N90"/>
    <mergeCell ref="A91:C91"/>
    <mergeCell ref="I91:K91"/>
    <mergeCell ref="L91:N91"/>
    <mergeCell ref="A92:C92"/>
    <mergeCell ref="I92:K92"/>
    <mergeCell ref="L92:N92"/>
    <mergeCell ref="A93:C93"/>
    <mergeCell ref="I93:K93"/>
    <mergeCell ref="L93:N93"/>
    <mergeCell ref="A94:C94"/>
    <mergeCell ref="I94:K94"/>
    <mergeCell ref="L94:N94"/>
    <mergeCell ref="A95:C95"/>
    <mergeCell ref="I95:K95"/>
    <mergeCell ref="L95:N95"/>
    <mergeCell ref="A96:C96"/>
    <mergeCell ref="I96:K96"/>
    <mergeCell ref="L96:N96"/>
    <mergeCell ref="A97:C97"/>
    <mergeCell ref="I97:K97"/>
    <mergeCell ref="L97:N97"/>
    <mergeCell ref="A98:C98"/>
    <mergeCell ref="I98:K98"/>
    <mergeCell ref="L98:N98"/>
    <mergeCell ref="A99:C99"/>
    <mergeCell ref="I99:K99"/>
    <mergeCell ref="L99:N99"/>
    <mergeCell ref="A100:C100"/>
    <mergeCell ref="I100:K100"/>
    <mergeCell ref="L100:N100"/>
    <mergeCell ref="A101:C101"/>
    <mergeCell ref="I101:K101"/>
    <mergeCell ref="L101:N101"/>
    <mergeCell ref="A102:C102"/>
    <mergeCell ref="I102:K102"/>
    <mergeCell ref="L102:N102"/>
    <mergeCell ref="A103:C103"/>
    <mergeCell ref="I103:K103"/>
    <mergeCell ref="L103:N103"/>
    <mergeCell ref="A104:C104"/>
    <mergeCell ref="I104:K104"/>
    <mergeCell ref="L104:N104"/>
    <mergeCell ref="A105:N105"/>
    <mergeCell ref="A108:C108"/>
    <mergeCell ref="A109:C109"/>
    <mergeCell ref="A110:C110"/>
    <mergeCell ref="A111:C111"/>
    <mergeCell ref="A112:C112"/>
    <mergeCell ref="A113:N113"/>
  </mergeCells>
  <dataValidations count="1">
    <dataValidation allowBlank="false" error="Enter a 4-digit year." errorStyle="stop" operator="between" showDropDown="false" showErrorMessage="true" showInputMessage="false" sqref="B4" type="whole">
      <formula1>2000</formula1>
      <formula2>2100</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rowBreaks count="1" manualBreakCount="1">
    <brk id="38" man="true" max="16383" min="0"/>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8"/>
    <col collapsed="false" customWidth="true" hidden="false" outlineLevel="0" max="3" min="3" style="0" width="22"/>
    <col collapsed="false" customWidth="true" hidden="false" outlineLevel="0" max="4" min="4" style="0" width="14"/>
    <col collapsed="false" customWidth="true" hidden="false" outlineLevel="0" max="5" min="5" style="0" width="20"/>
    <col collapsed="false" customWidth="true" hidden="false" outlineLevel="0" max="6" min="6" style="0" width="16"/>
  </cols>
  <sheetData>
    <row r="1" customFormat="false" ht="19.7" hidden="false" customHeight="false" outlineLevel="0" collapsed="false">
      <c r="A1" s="33" t="str">
        <f>'Start here'!$B$1&amp;" – DO NOT CONTACT (SUPPRESSION LIST)"</f>
        <v>[COMPANY NAME] – DO NOT CONTACT (SUPPRESSION LIST)</v>
      </c>
    </row>
    <row r="2" customFormat="false" ht="30" hidden="false" customHeight="true" outlineLevel="0" collapsed="false">
      <c r="A2" s="72" t="s">
        <v>233</v>
      </c>
      <c r="B2" s="72"/>
      <c r="C2" s="72"/>
      <c r="D2" s="72"/>
      <c r="E2" s="72"/>
      <c r="F2" s="72"/>
    </row>
    <row r="3" customFormat="false" ht="21.75" hidden="false" customHeight="true" outlineLevel="0" collapsed="false">
      <c r="A3" s="4" t="s">
        <v>234</v>
      </c>
      <c r="B3" s="5"/>
      <c r="C3" s="5"/>
      <c r="D3" s="5"/>
      <c r="E3" s="5"/>
      <c r="F3" s="5"/>
    </row>
    <row r="4" customFormat="false" ht="22.35" hidden="false" customHeight="false" outlineLevel="0" collapsed="false">
      <c r="A4" s="20" t="s">
        <v>235</v>
      </c>
      <c r="B4" s="20" t="s">
        <v>71</v>
      </c>
      <c r="C4" s="20" t="s">
        <v>236</v>
      </c>
      <c r="D4" s="20" t="s">
        <v>237</v>
      </c>
      <c r="E4" s="20" t="s">
        <v>238</v>
      </c>
      <c r="F4" s="20" t="s">
        <v>239</v>
      </c>
    </row>
    <row r="5" customFormat="false" ht="15" hidden="false" customHeight="false" outlineLevel="0" collapsed="false">
      <c r="A5" s="73" t="s">
        <v>240</v>
      </c>
      <c r="B5" s="73"/>
      <c r="C5" s="73"/>
      <c r="D5" s="73" t="s">
        <v>123</v>
      </c>
      <c r="E5" s="73" t="s">
        <v>125</v>
      </c>
      <c r="F5" s="73"/>
    </row>
    <row r="6" customFormat="false" ht="15" hidden="false" customHeight="false" outlineLevel="0" collapsed="false">
      <c r="A6" s="74"/>
      <c r="B6" s="74"/>
      <c r="C6" s="74"/>
      <c r="D6" s="75"/>
      <c r="E6" s="74"/>
      <c r="F6" s="74"/>
    </row>
    <row r="7" customFormat="false" ht="15" hidden="false" customHeight="false" outlineLevel="0" collapsed="false">
      <c r="A7" s="74"/>
      <c r="B7" s="74"/>
      <c r="C7" s="74"/>
      <c r="D7" s="75"/>
      <c r="E7" s="74"/>
      <c r="F7" s="74"/>
    </row>
    <row r="8" customFormat="false" ht="15" hidden="false" customHeight="false" outlineLevel="0" collapsed="false">
      <c r="A8" s="74"/>
      <c r="B8" s="74"/>
      <c r="C8" s="74"/>
      <c r="D8" s="75"/>
      <c r="E8" s="74"/>
      <c r="F8" s="74"/>
    </row>
    <row r="9" customFormat="false" ht="15" hidden="false" customHeight="false" outlineLevel="0" collapsed="false">
      <c r="A9" s="74"/>
      <c r="B9" s="74"/>
      <c r="C9" s="74"/>
      <c r="D9" s="75"/>
      <c r="E9" s="74"/>
      <c r="F9" s="74"/>
    </row>
    <row r="10" customFormat="false" ht="15" hidden="false" customHeight="false" outlineLevel="0" collapsed="false">
      <c r="A10" s="74"/>
      <c r="B10" s="74"/>
      <c r="C10" s="74"/>
      <c r="D10" s="75"/>
      <c r="E10" s="74"/>
      <c r="F10" s="74"/>
    </row>
    <row r="11" customFormat="false" ht="15" hidden="false" customHeight="false" outlineLevel="0" collapsed="false">
      <c r="A11" s="74"/>
      <c r="B11" s="74"/>
      <c r="C11" s="74"/>
      <c r="D11" s="75"/>
      <c r="E11" s="74"/>
      <c r="F11" s="74"/>
    </row>
    <row r="12" customFormat="false" ht="15" hidden="false" customHeight="false" outlineLevel="0" collapsed="false">
      <c r="A12" s="74"/>
      <c r="B12" s="74"/>
      <c r="C12" s="74"/>
      <c r="D12" s="75"/>
      <c r="E12" s="74"/>
      <c r="F12" s="74"/>
    </row>
    <row r="13" customFormat="false" ht="15" hidden="false" customHeight="false" outlineLevel="0" collapsed="false">
      <c r="A13" s="74"/>
      <c r="B13" s="74"/>
      <c r="C13" s="74"/>
      <c r="D13" s="75"/>
      <c r="E13" s="74"/>
      <c r="F13" s="74"/>
    </row>
    <row r="14" customFormat="false" ht="15" hidden="false" customHeight="false" outlineLevel="0" collapsed="false">
      <c r="A14" s="74"/>
      <c r="B14" s="74"/>
      <c r="C14" s="74"/>
      <c r="D14" s="75"/>
      <c r="E14" s="74"/>
      <c r="F14" s="74"/>
    </row>
    <row r="15" customFormat="false" ht="15" hidden="false" customHeight="false" outlineLevel="0" collapsed="false">
      <c r="A15" s="74"/>
      <c r="B15" s="74"/>
      <c r="C15" s="74"/>
      <c r="D15" s="75"/>
      <c r="E15" s="74"/>
      <c r="F15" s="74"/>
    </row>
    <row r="16" customFormat="false" ht="15" hidden="false" customHeight="false" outlineLevel="0" collapsed="false">
      <c r="A16" s="74"/>
      <c r="B16" s="74"/>
      <c r="C16" s="74"/>
      <c r="D16" s="75"/>
      <c r="E16" s="74"/>
      <c r="F16" s="74"/>
    </row>
    <row r="17" customFormat="false" ht="15" hidden="false" customHeight="false" outlineLevel="0" collapsed="false">
      <c r="A17" s="74"/>
      <c r="B17" s="74"/>
      <c r="C17" s="74"/>
      <c r="D17" s="75"/>
      <c r="E17" s="74"/>
      <c r="F17" s="74"/>
    </row>
    <row r="18" customFormat="false" ht="15" hidden="false" customHeight="false" outlineLevel="0" collapsed="false">
      <c r="A18" s="74"/>
      <c r="B18" s="74"/>
      <c r="C18" s="74"/>
      <c r="D18" s="75"/>
      <c r="E18" s="74"/>
      <c r="F18" s="74"/>
    </row>
    <row r="19" customFormat="false" ht="15" hidden="false" customHeight="false" outlineLevel="0" collapsed="false">
      <c r="A19" s="74"/>
      <c r="B19" s="74"/>
      <c r="C19" s="74"/>
      <c r="D19" s="75"/>
      <c r="E19" s="74"/>
      <c r="F19" s="74"/>
    </row>
    <row r="20" customFormat="false" ht="15" hidden="false" customHeight="false" outlineLevel="0" collapsed="false">
      <c r="A20" s="74"/>
      <c r="B20" s="74"/>
      <c r="C20" s="74"/>
      <c r="D20" s="75"/>
      <c r="E20" s="74"/>
      <c r="F20" s="74"/>
    </row>
    <row r="21" customFormat="false" ht="15" hidden="false" customHeight="false" outlineLevel="0" collapsed="false">
      <c r="A21" s="74"/>
      <c r="B21" s="74"/>
      <c r="C21" s="74"/>
      <c r="D21" s="75"/>
      <c r="E21" s="74"/>
      <c r="F21" s="74"/>
    </row>
    <row r="22" customFormat="false" ht="15" hidden="false" customHeight="false" outlineLevel="0" collapsed="false">
      <c r="A22" s="74"/>
      <c r="B22" s="74"/>
      <c r="C22" s="74"/>
      <c r="D22" s="75"/>
      <c r="E22" s="74"/>
      <c r="F22" s="74"/>
    </row>
    <row r="23" customFormat="false" ht="15" hidden="false" customHeight="false" outlineLevel="0" collapsed="false">
      <c r="A23" s="74"/>
      <c r="B23" s="74"/>
      <c r="C23" s="74"/>
      <c r="D23" s="75"/>
      <c r="E23" s="74"/>
      <c r="F23" s="74"/>
    </row>
    <row r="24" customFormat="false" ht="15" hidden="false" customHeight="false" outlineLevel="0" collapsed="false">
      <c r="A24" s="74"/>
      <c r="B24" s="74"/>
      <c r="C24" s="74"/>
      <c r="D24" s="75"/>
      <c r="E24" s="74"/>
      <c r="F24" s="74"/>
    </row>
    <row r="25" customFormat="false" ht="15" hidden="false" customHeight="false" outlineLevel="0" collapsed="false">
      <c r="A25" s="74"/>
      <c r="B25" s="74"/>
      <c r="C25" s="74"/>
      <c r="D25" s="75"/>
      <c r="E25" s="74"/>
      <c r="F25" s="74"/>
    </row>
    <row r="26" customFormat="false" ht="15" hidden="false" customHeight="false" outlineLevel="0" collapsed="false">
      <c r="A26" s="74"/>
      <c r="B26" s="74"/>
      <c r="C26" s="74"/>
      <c r="D26" s="75"/>
      <c r="E26" s="74"/>
      <c r="F26" s="74"/>
    </row>
    <row r="27" customFormat="false" ht="15" hidden="false" customHeight="false" outlineLevel="0" collapsed="false">
      <c r="A27" s="74"/>
      <c r="B27" s="74"/>
      <c r="C27" s="74"/>
      <c r="D27" s="75"/>
      <c r="E27" s="74"/>
      <c r="F27" s="74"/>
    </row>
    <row r="28" customFormat="false" ht="15" hidden="false" customHeight="false" outlineLevel="0" collapsed="false">
      <c r="A28" s="74"/>
      <c r="B28" s="74"/>
      <c r="C28" s="74"/>
      <c r="D28" s="75"/>
      <c r="E28" s="74"/>
      <c r="F28" s="74"/>
    </row>
    <row r="29" customFormat="false" ht="15" hidden="false" customHeight="false" outlineLevel="0" collapsed="false">
      <c r="A29" s="74"/>
      <c r="B29" s="74"/>
      <c r="C29" s="74"/>
      <c r="D29" s="75"/>
      <c r="E29" s="74"/>
      <c r="F29" s="74"/>
    </row>
    <row r="30" customFormat="false" ht="15" hidden="false" customHeight="false" outlineLevel="0" collapsed="false">
      <c r="A30" s="74"/>
      <c r="B30" s="74"/>
      <c r="C30" s="74"/>
      <c r="D30" s="75"/>
      <c r="E30" s="74"/>
      <c r="F30" s="74"/>
    </row>
    <row r="31" customFormat="false" ht="15" hidden="false" customHeight="false" outlineLevel="0" collapsed="false">
      <c r="A31" s="74"/>
      <c r="B31" s="74"/>
      <c r="C31" s="74"/>
      <c r="D31" s="75"/>
      <c r="E31" s="74"/>
      <c r="F31" s="74"/>
    </row>
    <row r="32" customFormat="false" ht="15" hidden="false" customHeight="false" outlineLevel="0" collapsed="false">
      <c r="A32" s="74"/>
      <c r="B32" s="74"/>
      <c r="C32" s="74"/>
      <c r="D32" s="75"/>
      <c r="E32" s="74"/>
      <c r="F32" s="74"/>
    </row>
    <row r="33" customFormat="false" ht="15" hidden="false" customHeight="false" outlineLevel="0" collapsed="false">
      <c r="A33" s="74"/>
      <c r="B33" s="74"/>
      <c r="C33" s="74"/>
      <c r="D33" s="75"/>
      <c r="E33" s="74"/>
      <c r="F33" s="74"/>
    </row>
    <row r="34" customFormat="false" ht="15" hidden="false" customHeight="false" outlineLevel="0" collapsed="false">
      <c r="A34" s="74"/>
      <c r="B34" s="74"/>
      <c r="C34" s="74"/>
      <c r="D34" s="75"/>
      <c r="E34" s="74"/>
      <c r="F34" s="74"/>
    </row>
    <row r="35" customFormat="false" ht="15" hidden="false" customHeight="false" outlineLevel="0" collapsed="false">
      <c r="A35" s="74"/>
      <c r="B35" s="74"/>
      <c r="C35" s="74"/>
      <c r="D35" s="75"/>
      <c r="E35" s="74"/>
      <c r="F35" s="74"/>
    </row>
    <row r="36" customFormat="false" ht="15" hidden="false" customHeight="false" outlineLevel="0" collapsed="false">
      <c r="A36" s="74"/>
      <c r="B36" s="74"/>
      <c r="C36" s="74"/>
      <c r="D36" s="75"/>
      <c r="E36" s="74"/>
      <c r="F36" s="74"/>
    </row>
    <row r="37" customFormat="false" ht="15" hidden="false" customHeight="false" outlineLevel="0" collapsed="false">
      <c r="A37" s="74"/>
      <c r="B37" s="74"/>
      <c r="C37" s="74"/>
      <c r="D37" s="75"/>
      <c r="E37" s="74"/>
      <c r="F37" s="74"/>
    </row>
    <row r="38" customFormat="false" ht="15" hidden="false" customHeight="false" outlineLevel="0" collapsed="false">
      <c r="A38" s="74"/>
      <c r="B38" s="74"/>
      <c r="C38" s="74"/>
      <c r="D38" s="75"/>
      <c r="E38" s="74"/>
      <c r="F38" s="74"/>
    </row>
    <row r="39" customFormat="false" ht="15" hidden="false" customHeight="false" outlineLevel="0" collapsed="false">
      <c r="A39" s="74"/>
      <c r="B39" s="74"/>
      <c r="C39" s="74"/>
      <c r="D39" s="75"/>
      <c r="E39" s="74"/>
      <c r="F39" s="74"/>
    </row>
    <row r="40" customFormat="false" ht="15" hidden="false" customHeight="false" outlineLevel="0" collapsed="false">
      <c r="A40" s="74"/>
      <c r="B40" s="74"/>
      <c r="C40" s="74"/>
      <c r="D40" s="75"/>
      <c r="E40" s="74"/>
      <c r="F40" s="74"/>
    </row>
    <row r="41" customFormat="false" ht="15" hidden="false" customHeight="false" outlineLevel="0" collapsed="false">
      <c r="A41" s="74"/>
      <c r="B41" s="74"/>
      <c r="C41" s="74"/>
      <c r="D41" s="75"/>
      <c r="E41" s="74"/>
      <c r="F41" s="74"/>
    </row>
    <row r="42" customFormat="false" ht="15" hidden="false" customHeight="false" outlineLevel="0" collapsed="false">
      <c r="A42" s="74"/>
      <c r="B42" s="74"/>
      <c r="C42" s="74"/>
      <c r="D42" s="75"/>
      <c r="E42" s="74"/>
      <c r="F42" s="74"/>
    </row>
    <row r="43" customFormat="false" ht="15" hidden="false" customHeight="false" outlineLevel="0" collapsed="false">
      <c r="A43" s="74"/>
      <c r="B43" s="74"/>
      <c r="C43" s="74"/>
      <c r="D43" s="75"/>
      <c r="E43" s="74"/>
      <c r="F43" s="74"/>
    </row>
    <row r="44" customFormat="false" ht="15" hidden="false" customHeight="false" outlineLevel="0" collapsed="false">
      <c r="A44" s="74"/>
      <c r="B44" s="74"/>
      <c r="C44" s="74"/>
      <c r="D44" s="75"/>
      <c r="E44" s="74"/>
      <c r="F44" s="74"/>
    </row>
    <row r="45" customFormat="false" ht="15" hidden="false" customHeight="false" outlineLevel="0" collapsed="false">
      <c r="A45" s="74"/>
      <c r="B45" s="74"/>
      <c r="C45" s="74"/>
      <c r="D45" s="75"/>
      <c r="E45" s="74"/>
      <c r="F45" s="74"/>
    </row>
    <row r="46" customFormat="false" ht="15" hidden="false" customHeight="false" outlineLevel="0" collapsed="false">
      <c r="A46" s="74"/>
      <c r="B46" s="74"/>
      <c r="C46" s="74"/>
      <c r="D46" s="75"/>
      <c r="E46" s="74"/>
      <c r="F46" s="74"/>
    </row>
    <row r="47" customFormat="false" ht="15" hidden="false" customHeight="false" outlineLevel="0" collapsed="false">
      <c r="A47" s="74"/>
      <c r="B47" s="74"/>
      <c r="C47" s="74"/>
      <c r="D47" s="75"/>
      <c r="E47" s="74"/>
      <c r="F47" s="74"/>
    </row>
    <row r="48" customFormat="false" ht="15" hidden="false" customHeight="false" outlineLevel="0" collapsed="false">
      <c r="A48" s="74"/>
      <c r="B48" s="74"/>
      <c r="C48" s="74"/>
      <c r="D48" s="75"/>
      <c r="E48" s="74"/>
      <c r="F48" s="74"/>
    </row>
    <row r="49" customFormat="false" ht="15" hidden="false" customHeight="false" outlineLevel="0" collapsed="false">
      <c r="A49" s="74"/>
      <c r="B49" s="74"/>
      <c r="C49" s="74"/>
      <c r="D49" s="75"/>
      <c r="E49" s="74"/>
      <c r="F49" s="74"/>
    </row>
    <row r="50" customFormat="false" ht="15" hidden="false" customHeight="false" outlineLevel="0" collapsed="false">
      <c r="A50" s="74"/>
      <c r="B50" s="74"/>
      <c r="C50" s="74"/>
      <c r="D50" s="75"/>
      <c r="E50" s="74"/>
      <c r="F50" s="74"/>
    </row>
    <row r="51" customFormat="false" ht="15" hidden="false" customHeight="false" outlineLevel="0" collapsed="false">
      <c r="A51" s="74"/>
      <c r="B51" s="74"/>
      <c r="C51" s="74"/>
      <c r="D51" s="75"/>
      <c r="E51" s="74"/>
      <c r="F51" s="74"/>
    </row>
    <row r="52" customFormat="false" ht="15" hidden="false" customHeight="false" outlineLevel="0" collapsed="false">
      <c r="A52" s="74"/>
      <c r="B52" s="74"/>
      <c r="C52" s="74"/>
      <c r="D52" s="75"/>
      <c r="E52" s="74"/>
      <c r="F52" s="74"/>
    </row>
    <row r="53" customFormat="false" ht="15" hidden="false" customHeight="false" outlineLevel="0" collapsed="false">
      <c r="A53" s="74"/>
      <c r="B53" s="74"/>
      <c r="C53" s="74"/>
      <c r="D53" s="75"/>
      <c r="E53" s="74"/>
      <c r="F53" s="74"/>
    </row>
    <row r="54" customFormat="false" ht="15" hidden="false" customHeight="false" outlineLevel="0" collapsed="false">
      <c r="A54" s="74"/>
      <c r="B54" s="74"/>
      <c r="C54" s="74"/>
      <c r="D54" s="75"/>
      <c r="E54" s="74"/>
      <c r="F54" s="74"/>
    </row>
    <row r="55" customFormat="false" ht="15" hidden="false" customHeight="false" outlineLevel="0" collapsed="false">
      <c r="A55" s="74"/>
      <c r="B55" s="74"/>
      <c r="C55" s="74"/>
      <c r="D55" s="75"/>
      <c r="E55" s="74"/>
      <c r="F55" s="74"/>
    </row>
    <row r="56" customFormat="false" ht="15" hidden="false" customHeight="false" outlineLevel="0" collapsed="false">
      <c r="A56" s="74"/>
      <c r="B56" s="74"/>
      <c r="C56" s="74"/>
      <c r="D56" s="75"/>
      <c r="E56" s="74"/>
      <c r="F56" s="74"/>
    </row>
    <row r="57" customFormat="false" ht="15" hidden="false" customHeight="false" outlineLevel="0" collapsed="false">
      <c r="A57" s="74"/>
      <c r="B57" s="74"/>
      <c r="C57" s="74"/>
      <c r="D57" s="75"/>
      <c r="E57" s="74"/>
      <c r="F57" s="74"/>
    </row>
    <row r="58" customFormat="false" ht="15" hidden="false" customHeight="false" outlineLevel="0" collapsed="false">
      <c r="A58" s="74"/>
      <c r="B58" s="74"/>
      <c r="C58" s="74"/>
      <c r="D58" s="75"/>
      <c r="E58" s="74"/>
      <c r="F58" s="74"/>
    </row>
    <row r="59" customFormat="false" ht="15" hidden="false" customHeight="false" outlineLevel="0" collapsed="false">
      <c r="A59" s="74"/>
      <c r="B59" s="74"/>
      <c r="C59" s="74"/>
      <c r="D59" s="75"/>
      <c r="E59" s="74"/>
      <c r="F59" s="74"/>
    </row>
    <row r="60" customFormat="false" ht="15" hidden="false" customHeight="false" outlineLevel="0" collapsed="false">
      <c r="A60" s="74"/>
      <c r="B60" s="74"/>
      <c r="C60" s="74"/>
      <c r="D60" s="75"/>
      <c r="E60" s="74"/>
      <c r="F60" s="74"/>
    </row>
    <row r="61" customFormat="false" ht="15" hidden="false" customHeight="false" outlineLevel="0" collapsed="false">
      <c r="A61" s="74"/>
      <c r="B61" s="74"/>
      <c r="C61" s="74"/>
      <c r="D61" s="75"/>
      <c r="E61" s="74"/>
      <c r="F61" s="74"/>
    </row>
    <row r="62" customFormat="false" ht="15" hidden="false" customHeight="false" outlineLevel="0" collapsed="false">
      <c r="A62" s="74"/>
      <c r="B62" s="74"/>
      <c r="C62" s="74"/>
      <c r="D62" s="75"/>
      <c r="E62" s="74"/>
      <c r="F62" s="74"/>
    </row>
    <row r="63" customFormat="false" ht="15" hidden="false" customHeight="false" outlineLevel="0" collapsed="false">
      <c r="A63" s="74"/>
      <c r="B63" s="74"/>
      <c r="C63" s="74"/>
      <c r="D63" s="75"/>
      <c r="E63" s="74"/>
      <c r="F63" s="74"/>
    </row>
    <row r="64" customFormat="false" ht="15" hidden="false" customHeight="false" outlineLevel="0" collapsed="false">
      <c r="A64" s="74"/>
      <c r="B64" s="74"/>
      <c r="C64" s="74"/>
      <c r="D64" s="75"/>
      <c r="E64" s="74"/>
      <c r="F64" s="74"/>
    </row>
    <row r="65" customFormat="false" ht="15" hidden="false" customHeight="false" outlineLevel="0" collapsed="false">
      <c r="A65" s="74"/>
      <c r="B65" s="74"/>
      <c r="C65" s="74"/>
      <c r="D65" s="75"/>
      <c r="E65" s="74"/>
      <c r="F65" s="74"/>
    </row>
    <row r="66" customFormat="false" ht="15" hidden="false" customHeight="false" outlineLevel="0" collapsed="false">
      <c r="A66" s="74"/>
      <c r="B66" s="74"/>
      <c r="C66" s="74"/>
      <c r="D66" s="75"/>
      <c r="E66" s="74"/>
      <c r="F66" s="74"/>
    </row>
    <row r="67" customFormat="false" ht="15" hidden="false" customHeight="false" outlineLevel="0" collapsed="false">
      <c r="A67" s="74"/>
      <c r="B67" s="74"/>
      <c r="C67" s="74"/>
      <c r="D67" s="75"/>
      <c r="E67" s="74"/>
      <c r="F67" s="74"/>
    </row>
    <row r="68" customFormat="false" ht="15" hidden="false" customHeight="false" outlineLevel="0" collapsed="false">
      <c r="A68" s="74"/>
      <c r="B68" s="74"/>
      <c r="C68" s="74"/>
      <c r="D68" s="75"/>
      <c r="E68" s="74"/>
      <c r="F68" s="74"/>
    </row>
    <row r="69" customFormat="false" ht="15" hidden="false" customHeight="false" outlineLevel="0" collapsed="false">
      <c r="A69" s="74"/>
      <c r="B69" s="74"/>
      <c r="C69" s="74"/>
      <c r="D69" s="75"/>
      <c r="E69" s="74"/>
      <c r="F69" s="74"/>
    </row>
    <row r="70" customFormat="false" ht="15" hidden="false" customHeight="false" outlineLevel="0" collapsed="false">
      <c r="A70" s="74"/>
      <c r="B70" s="74"/>
      <c r="C70" s="74"/>
      <c r="D70" s="75"/>
      <c r="E70" s="74"/>
      <c r="F70" s="74"/>
    </row>
    <row r="71" customFormat="false" ht="15" hidden="false" customHeight="false" outlineLevel="0" collapsed="false">
      <c r="A71" s="74"/>
      <c r="B71" s="74"/>
      <c r="C71" s="74"/>
      <c r="D71" s="75"/>
      <c r="E71" s="74"/>
      <c r="F71" s="74"/>
    </row>
    <row r="72" customFormat="false" ht="15" hidden="false" customHeight="false" outlineLevel="0" collapsed="false">
      <c r="A72" s="74"/>
      <c r="B72" s="74"/>
      <c r="C72" s="74"/>
      <c r="D72" s="75"/>
      <c r="E72" s="74"/>
      <c r="F72" s="74"/>
    </row>
    <row r="73" customFormat="false" ht="15" hidden="false" customHeight="false" outlineLevel="0" collapsed="false">
      <c r="A73" s="74"/>
      <c r="B73" s="74"/>
      <c r="C73" s="74"/>
      <c r="D73" s="75"/>
      <c r="E73" s="74"/>
      <c r="F73" s="74"/>
    </row>
    <row r="74" customFormat="false" ht="15" hidden="false" customHeight="false" outlineLevel="0" collapsed="false">
      <c r="A74" s="74"/>
      <c r="B74" s="74"/>
      <c r="C74" s="74"/>
      <c r="D74" s="75"/>
      <c r="E74" s="74"/>
      <c r="F74" s="74"/>
    </row>
    <row r="75" customFormat="false" ht="15" hidden="false" customHeight="false" outlineLevel="0" collapsed="false">
      <c r="A75" s="74"/>
      <c r="B75" s="74"/>
      <c r="C75" s="74"/>
      <c r="D75" s="75"/>
      <c r="E75" s="74"/>
      <c r="F75" s="74"/>
    </row>
    <row r="76" customFormat="false" ht="15" hidden="false" customHeight="false" outlineLevel="0" collapsed="false">
      <c r="A76" s="74"/>
      <c r="B76" s="74"/>
      <c r="C76" s="74"/>
      <c r="D76" s="75"/>
      <c r="E76" s="74"/>
      <c r="F76" s="74"/>
    </row>
    <row r="77" customFormat="false" ht="15" hidden="false" customHeight="false" outlineLevel="0" collapsed="false">
      <c r="A77" s="74"/>
      <c r="B77" s="74"/>
      <c r="C77" s="74"/>
      <c r="D77" s="75"/>
      <c r="E77" s="74"/>
      <c r="F77" s="74"/>
    </row>
    <row r="78" customFormat="false" ht="15" hidden="false" customHeight="false" outlineLevel="0" collapsed="false">
      <c r="A78" s="74"/>
      <c r="B78" s="74"/>
      <c r="C78" s="74"/>
      <c r="D78" s="75"/>
      <c r="E78" s="74"/>
      <c r="F78" s="74"/>
    </row>
    <row r="79" customFormat="false" ht="15" hidden="false" customHeight="false" outlineLevel="0" collapsed="false">
      <c r="A79" s="74"/>
      <c r="B79" s="74"/>
      <c r="C79" s="74"/>
      <c r="D79" s="75"/>
      <c r="E79" s="74"/>
      <c r="F79" s="74"/>
    </row>
    <row r="80" customFormat="false" ht="15" hidden="false" customHeight="false" outlineLevel="0" collapsed="false">
      <c r="A80" s="74"/>
      <c r="B80" s="74"/>
      <c r="C80" s="74"/>
      <c r="D80" s="75"/>
      <c r="E80" s="74"/>
      <c r="F80" s="74"/>
    </row>
    <row r="81" customFormat="false" ht="15" hidden="false" customHeight="false" outlineLevel="0" collapsed="false">
      <c r="A81" s="74"/>
      <c r="B81" s="74"/>
      <c r="C81" s="74"/>
      <c r="D81" s="75"/>
      <c r="E81" s="74"/>
      <c r="F81" s="74"/>
    </row>
    <row r="82" customFormat="false" ht="15" hidden="false" customHeight="false" outlineLevel="0" collapsed="false">
      <c r="A82" s="74"/>
      <c r="B82" s="74"/>
      <c r="C82" s="74"/>
      <c r="D82" s="75"/>
      <c r="E82" s="74"/>
      <c r="F82" s="74"/>
    </row>
    <row r="83" customFormat="false" ht="15" hidden="false" customHeight="false" outlineLevel="0" collapsed="false">
      <c r="A83" s="74"/>
      <c r="B83" s="74"/>
      <c r="C83" s="74"/>
      <c r="D83" s="75"/>
      <c r="E83" s="74"/>
      <c r="F83" s="74"/>
    </row>
    <row r="84" customFormat="false" ht="15" hidden="false" customHeight="false" outlineLevel="0" collapsed="false">
      <c r="A84" s="74"/>
      <c r="B84" s="74"/>
      <c r="C84" s="74"/>
      <c r="D84" s="75"/>
      <c r="E84" s="74"/>
      <c r="F84" s="74"/>
    </row>
    <row r="85" customFormat="false" ht="15" hidden="false" customHeight="false" outlineLevel="0" collapsed="false">
      <c r="A85" s="74"/>
      <c r="B85" s="74"/>
      <c r="C85" s="74"/>
      <c r="D85" s="75"/>
      <c r="E85" s="74"/>
      <c r="F85" s="74"/>
    </row>
    <row r="86" customFormat="false" ht="15" hidden="false" customHeight="false" outlineLevel="0" collapsed="false">
      <c r="A86" s="74"/>
      <c r="B86" s="74"/>
      <c r="C86" s="74"/>
      <c r="D86" s="75"/>
      <c r="E86" s="74"/>
      <c r="F86" s="74"/>
    </row>
    <row r="87" customFormat="false" ht="15" hidden="false" customHeight="false" outlineLevel="0" collapsed="false">
      <c r="A87" s="74"/>
      <c r="B87" s="74"/>
      <c r="C87" s="74"/>
      <c r="D87" s="75"/>
      <c r="E87" s="74"/>
      <c r="F87" s="74"/>
    </row>
    <row r="88" customFormat="false" ht="15" hidden="false" customHeight="false" outlineLevel="0" collapsed="false">
      <c r="A88" s="74"/>
      <c r="B88" s="74"/>
      <c r="C88" s="74"/>
      <c r="D88" s="75"/>
      <c r="E88" s="74"/>
      <c r="F88" s="74"/>
    </row>
    <row r="89" customFormat="false" ht="15" hidden="false" customHeight="false" outlineLevel="0" collapsed="false">
      <c r="A89" s="74"/>
      <c r="B89" s="74"/>
      <c r="C89" s="74"/>
      <c r="D89" s="75"/>
      <c r="E89" s="74"/>
      <c r="F89" s="74"/>
    </row>
    <row r="90" customFormat="false" ht="15" hidden="false" customHeight="false" outlineLevel="0" collapsed="false">
      <c r="A90" s="74"/>
      <c r="B90" s="74"/>
      <c r="C90" s="74"/>
      <c r="D90" s="75"/>
      <c r="E90" s="74"/>
      <c r="F90" s="74"/>
    </row>
    <row r="91" customFormat="false" ht="15" hidden="false" customHeight="false" outlineLevel="0" collapsed="false">
      <c r="A91" s="74"/>
      <c r="B91" s="74"/>
      <c r="C91" s="74"/>
      <c r="D91" s="75"/>
      <c r="E91" s="74"/>
      <c r="F91" s="74"/>
    </row>
    <row r="92" customFormat="false" ht="15" hidden="false" customHeight="false" outlineLevel="0" collapsed="false">
      <c r="A92" s="74"/>
      <c r="B92" s="74"/>
      <c r="C92" s="74"/>
      <c r="D92" s="75"/>
      <c r="E92" s="74"/>
      <c r="F92" s="74"/>
    </row>
    <row r="93" customFormat="false" ht="15" hidden="false" customHeight="false" outlineLevel="0" collapsed="false">
      <c r="A93" s="74"/>
      <c r="B93" s="74"/>
      <c r="C93" s="74"/>
      <c r="D93" s="75"/>
      <c r="E93" s="74"/>
      <c r="F93" s="74"/>
    </row>
    <row r="94" customFormat="false" ht="15" hidden="false" customHeight="false" outlineLevel="0" collapsed="false">
      <c r="A94" s="74"/>
      <c r="B94" s="74"/>
      <c r="C94" s="74"/>
      <c r="D94" s="75"/>
      <c r="E94" s="74"/>
      <c r="F94" s="74"/>
    </row>
    <row r="95" customFormat="false" ht="15" hidden="false" customHeight="false" outlineLevel="0" collapsed="false">
      <c r="A95" s="74"/>
      <c r="B95" s="74"/>
      <c r="C95" s="74"/>
      <c r="D95" s="75"/>
      <c r="E95" s="74"/>
      <c r="F95" s="74"/>
    </row>
    <row r="96" customFormat="false" ht="15" hidden="false" customHeight="false" outlineLevel="0" collapsed="false">
      <c r="A96" s="74"/>
      <c r="B96" s="74"/>
      <c r="C96" s="74"/>
      <c r="D96" s="75"/>
      <c r="E96" s="74"/>
      <c r="F96" s="74"/>
    </row>
    <row r="97" customFormat="false" ht="15" hidden="false" customHeight="false" outlineLevel="0" collapsed="false">
      <c r="A97" s="74"/>
      <c r="B97" s="74"/>
      <c r="C97" s="74"/>
      <c r="D97" s="75"/>
      <c r="E97" s="74"/>
      <c r="F97" s="74"/>
    </row>
    <row r="98" customFormat="false" ht="15" hidden="false" customHeight="false" outlineLevel="0" collapsed="false">
      <c r="A98" s="74"/>
      <c r="B98" s="74"/>
      <c r="C98" s="74"/>
      <c r="D98" s="75"/>
      <c r="E98" s="74"/>
      <c r="F98" s="74"/>
    </row>
    <row r="99" customFormat="false" ht="15" hidden="false" customHeight="false" outlineLevel="0" collapsed="false">
      <c r="A99" s="74"/>
      <c r="B99" s="74"/>
      <c r="C99" s="74"/>
      <c r="D99" s="75"/>
      <c r="E99" s="74"/>
      <c r="F99" s="74"/>
    </row>
    <row r="100" customFormat="false" ht="15" hidden="false" customHeight="false" outlineLevel="0" collapsed="false">
      <c r="A100" s="74"/>
      <c r="B100" s="74"/>
      <c r="C100" s="74"/>
      <c r="D100" s="75"/>
      <c r="E100" s="74"/>
      <c r="F100" s="74"/>
    </row>
    <row r="101" customFormat="false" ht="15" hidden="false" customHeight="false" outlineLevel="0" collapsed="false">
      <c r="A101" s="74"/>
      <c r="B101" s="74"/>
      <c r="C101" s="74"/>
      <c r="D101" s="75"/>
      <c r="E101" s="74"/>
      <c r="F101" s="74"/>
    </row>
    <row r="102" customFormat="false" ht="15" hidden="false" customHeight="false" outlineLevel="0" collapsed="false">
      <c r="A102" s="74"/>
      <c r="B102" s="74"/>
      <c r="C102" s="74"/>
      <c r="D102" s="75"/>
      <c r="E102" s="74"/>
      <c r="F102" s="74"/>
    </row>
    <row r="103" customFormat="false" ht="15" hidden="false" customHeight="false" outlineLevel="0" collapsed="false">
      <c r="A103" s="74"/>
      <c r="B103" s="74"/>
      <c r="C103" s="74"/>
      <c r="D103" s="75"/>
      <c r="E103" s="74"/>
      <c r="F103" s="74"/>
    </row>
    <row r="104" customFormat="false" ht="15" hidden="false" customHeight="false" outlineLevel="0" collapsed="false">
      <c r="A104" s="74"/>
      <c r="B104" s="74"/>
      <c r="C104" s="74"/>
      <c r="D104" s="75"/>
      <c r="E104" s="74"/>
      <c r="F104" s="74"/>
    </row>
    <row r="105" customFormat="false" ht="15" hidden="false" customHeight="false" outlineLevel="0" collapsed="false">
      <c r="A105" s="74"/>
      <c r="B105" s="74"/>
      <c r="C105" s="74"/>
      <c r="D105" s="75"/>
      <c r="E105" s="74"/>
      <c r="F105" s="74"/>
    </row>
    <row r="106" customFormat="false" ht="15" hidden="false" customHeight="false" outlineLevel="0" collapsed="false">
      <c r="A106" s="74"/>
      <c r="B106" s="74"/>
      <c r="C106" s="74"/>
      <c r="D106" s="75"/>
      <c r="E106" s="74"/>
      <c r="F106" s="74"/>
    </row>
    <row r="107" customFormat="false" ht="15" hidden="false" customHeight="false" outlineLevel="0" collapsed="false">
      <c r="A107" s="74"/>
      <c r="B107" s="74"/>
      <c r="C107" s="74"/>
      <c r="D107" s="75"/>
      <c r="E107" s="74"/>
      <c r="F107" s="74"/>
    </row>
    <row r="108" customFormat="false" ht="15" hidden="false" customHeight="false" outlineLevel="0" collapsed="false">
      <c r="A108" s="74"/>
      <c r="B108" s="74"/>
      <c r="C108" s="74"/>
      <c r="D108" s="75"/>
      <c r="E108" s="74"/>
      <c r="F108" s="74"/>
    </row>
    <row r="109" customFormat="false" ht="15" hidden="false" customHeight="false" outlineLevel="0" collapsed="false">
      <c r="A109" s="74"/>
      <c r="B109" s="74"/>
      <c r="C109" s="74"/>
      <c r="D109" s="75"/>
      <c r="E109" s="74"/>
      <c r="F109" s="74"/>
    </row>
    <row r="110" customFormat="false" ht="15" hidden="false" customHeight="false" outlineLevel="0" collapsed="false">
      <c r="A110" s="74"/>
      <c r="B110" s="74"/>
      <c r="C110" s="74"/>
      <c r="D110" s="75"/>
      <c r="E110" s="74"/>
      <c r="F110" s="74"/>
    </row>
    <row r="111" customFormat="false" ht="15" hidden="false" customHeight="false" outlineLevel="0" collapsed="false">
      <c r="A111" s="74"/>
      <c r="B111" s="74"/>
      <c r="C111" s="74"/>
      <c r="D111" s="75"/>
      <c r="E111" s="74"/>
      <c r="F111" s="74"/>
    </row>
    <row r="112" customFormat="false" ht="15" hidden="false" customHeight="false" outlineLevel="0" collapsed="false">
      <c r="A112" s="74"/>
      <c r="B112" s="74"/>
      <c r="C112" s="74"/>
      <c r="D112" s="75"/>
      <c r="E112" s="74"/>
      <c r="F112" s="74"/>
    </row>
    <row r="113" customFormat="false" ht="15" hidden="false" customHeight="false" outlineLevel="0" collapsed="false">
      <c r="A113" s="74"/>
      <c r="B113" s="74"/>
      <c r="C113" s="74"/>
      <c r="D113" s="75"/>
      <c r="E113" s="74"/>
      <c r="F113" s="74"/>
    </row>
    <row r="114" customFormat="false" ht="15" hidden="false" customHeight="false" outlineLevel="0" collapsed="false">
      <c r="A114" s="74"/>
      <c r="B114" s="74"/>
      <c r="C114" s="74"/>
      <c r="D114" s="75"/>
      <c r="E114" s="74"/>
      <c r="F114" s="74"/>
    </row>
    <row r="115" customFormat="false" ht="15" hidden="false" customHeight="false" outlineLevel="0" collapsed="false">
      <c r="A115" s="74"/>
      <c r="B115" s="74"/>
      <c r="C115" s="74"/>
      <c r="D115" s="75"/>
      <c r="E115" s="74"/>
      <c r="F115" s="74"/>
    </row>
    <row r="116" customFormat="false" ht="15" hidden="false" customHeight="false" outlineLevel="0" collapsed="false">
      <c r="A116" s="74"/>
      <c r="B116" s="74"/>
      <c r="C116" s="74"/>
      <c r="D116" s="75"/>
      <c r="E116" s="74"/>
      <c r="F116" s="74"/>
    </row>
    <row r="117" customFormat="false" ht="15" hidden="false" customHeight="false" outlineLevel="0" collapsed="false">
      <c r="A117" s="74"/>
      <c r="B117" s="74"/>
      <c r="C117" s="74"/>
      <c r="D117" s="75"/>
      <c r="E117" s="74"/>
      <c r="F117" s="74"/>
    </row>
    <row r="118" customFormat="false" ht="15" hidden="false" customHeight="false" outlineLevel="0" collapsed="false">
      <c r="A118" s="74"/>
      <c r="B118" s="74"/>
      <c r="C118" s="74"/>
      <c r="D118" s="75"/>
      <c r="E118" s="74"/>
      <c r="F118" s="74"/>
    </row>
    <row r="119" customFormat="false" ht="15" hidden="false" customHeight="false" outlineLevel="0" collapsed="false">
      <c r="A119" s="74"/>
      <c r="B119" s="74"/>
      <c r="C119" s="74"/>
      <c r="D119" s="75"/>
      <c r="E119" s="74"/>
      <c r="F119" s="74"/>
    </row>
    <row r="120" customFormat="false" ht="15" hidden="false" customHeight="false" outlineLevel="0" collapsed="false">
      <c r="A120" s="74"/>
      <c r="B120" s="74"/>
      <c r="C120" s="74"/>
      <c r="D120" s="75"/>
      <c r="E120" s="74"/>
      <c r="F120" s="74"/>
    </row>
    <row r="121" customFormat="false" ht="15" hidden="false" customHeight="false" outlineLevel="0" collapsed="false">
      <c r="A121" s="74"/>
      <c r="B121" s="74"/>
      <c r="C121" s="74"/>
      <c r="D121" s="75"/>
      <c r="E121" s="74"/>
      <c r="F121" s="74"/>
    </row>
    <row r="122" customFormat="false" ht="15" hidden="false" customHeight="false" outlineLevel="0" collapsed="false">
      <c r="A122" s="74"/>
      <c r="B122" s="74"/>
      <c r="C122" s="74"/>
      <c r="D122" s="75"/>
      <c r="E122" s="74"/>
      <c r="F122" s="74"/>
    </row>
    <row r="123" customFormat="false" ht="15" hidden="false" customHeight="false" outlineLevel="0" collapsed="false">
      <c r="A123" s="74"/>
      <c r="B123" s="74"/>
      <c r="C123" s="74"/>
      <c r="D123" s="75"/>
      <c r="E123" s="74"/>
      <c r="F123" s="74"/>
    </row>
    <row r="124" customFormat="false" ht="15" hidden="false" customHeight="false" outlineLevel="0" collapsed="false">
      <c r="A124" s="74"/>
      <c r="B124" s="74"/>
      <c r="C124" s="74"/>
      <c r="D124" s="75"/>
      <c r="E124" s="74"/>
      <c r="F124" s="74"/>
    </row>
    <row r="125" customFormat="false" ht="15" hidden="false" customHeight="false" outlineLevel="0" collapsed="false">
      <c r="A125" s="74"/>
      <c r="B125" s="74"/>
      <c r="C125" s="74"/>
      <c r="D125" s="75"/>
      <c r="E125" s="74"/>
      <c r="F125" s="74"/>
    </row>
    <row r="126" customFormat="false" ht="15" hidden="false" customHeight="false" outlineLevel="0" collapsed="false">
      <c r="A126" s="74"/>
      <c r="B126" s="74"/>
      <c r="C126" s="74"/>
      <c r="D126" s="75"/>
      <c r="E126" s="74"/>
      <c r="F126" s="74"/>
    </row>
    <row r="127" customFormat="false" ht="15" hidden="false" customHeight="false" outlineLevel="0" collapsed="false">
      <c r="A127" s="74"/>
      <c r="B127" s="74"/>
      <c r="C127" s="74"/>
      <c r="D127" s="75"/>
      <c r="E127" s="74"/>
      <c r="F127" s="74"/>
    </row>
    <row r="128" customFormat="false" ht="15" hidden="false" customHeight="false" outlineLevel="0" collapsed="false">
      <c r="A128" s="74"/>
      <c r="B128" s="74"/>
      <c r="C128" s="74"/>
      <c r="D128" s="75"/>
      <c r="E128" s="74"/>
      <c r="F128" s="74"/>
    </row>
    <row r="129" customFormat="false" ht="15" hidden="false" customHeight="false" outlineLevel="0" collapsed="false">
      <c r="A129" s="74"/>
      <c r="B129" s="74"/>
      <c r="C129" s="74"/>
      <c r="D129" s="75"/>
      <c r="E129" s="74"/>
      <c r="F129" s="74"/>
    </row>
    <row r="130" customFormat="false" ht="15" hidden="false" customHeight="false" outlineLevel="0" collapsed="false">
      <c r="A130" s="74"/>
      <c r="B130" s="74"/>
      <c r="C130" s="74"/>
      <c r="D130" s="75"/>
      <c r="E130" s="74"/>
      <c r="F130" s="74"/>
    </row>
    <row r="131" customFormat="false" ht="15" hidden="false" customHeight="false" outlineLevel="0" collapsed="false">
      <c r="A131" s="74"/>
      <c r="B131" s="74"/>
      <c r="C131" s="74"/>
      <c r="D131" s="75"/>
      <c r="E131" s="74"/>
      <c r="F131" s="74"/>
    </row>
    <row r="132" customFormat="false" ht="15" hidden="false" customHeight="false" outlineLevel="0" collapsed="false">
      <c r="A132" s="74"/>
      <c r="B132" s="74"/>
      <c r="C132" s="74"/>
      <c r="D132" s="75"/>
      <c r="E132" s="74"/>
      <c r="F132" s="74"/>
    </row>
    <row r="133" customFormat="false" ht="15" hidden="false" customHeight="false" outlineLevel="0" collapsed="false">
      <c r="A133" s="74"/>
      <c r="B133" s="74"/>
      <c r="C133" s="74"/>
      <c r="D133" s="75"/>
      <c r="E133" s="74"/>
      <c r="F133" s="74"/>
    </row>
    <row r="134" customFormat="false" ht="15" hidden="false" customHeight="false" outlineLevel="0" collapsed="false">
      <c r="A134" s="74"/>
      <c r="B134" s="74"/>
      <c r="C134" s="74"/>
      <c r="D134" s="75"/>
      <c r="E134" s="74"/>
      <c r="F134" s="74"/>
    </row>
    <row r="135" customFormat="false" ht="15" hidden="false" customHeight="false" outlineLevel="0" collapsed="false">
      <c r="A135" s="74"/>
      <c r="B135" s="74"/>
      <c r="C135" s="74"/>
      <c r="D135" s="75"/>
      <c r="E135" s="74"/>
      <c r="F135" s="74"/>
    </row>
    <row r="136" customFormat="false" ht="15" hidden="false" customHeight="false" outlineLevel="0" collapsed="false">
      <c r="A136" s="74"/>
      <c r="B136" s="74"/>
      <c r="C136" s="74"/>
      <c r="D136" s="75"/>
      <c r="E136" s="74"/>
      <c r="F136" s="74"/>
    </row>
    <row r="137" customFormat="false" ht="15" hidden="false" customHeight="false" outlineLevel="0" collapsed="false">
      <c r="A137" s="74"/>
      <c r="B137" s="74"/>
      <c r="C137" s="74"/>
      <c r="D137" s="75"/>
      <c r="E137" s="74"/>
      <c r="F137" s="74"/>
    </row>
    <row r="138" customFormat="false" ht="15" hidden="false" customHeight="false" outlineLevel="0" collapsed="false">
      <c r="A138" s="74"/>
      <c r="B138" s="74"/>
      <c r="C138" s="74"/>
      <c r="D138" s="75"/>
      <c r="E138" s="74"/>
      <c r="F138" s="74"/>
    </row>
    <row r="139" customFormat="false" ht="15" hidden="false" customHeight="false" outlineLevel="0" collapsed="false">
      <c r="A139" s="74"/>
      <c r="B139" s="74"/>
      <c r="C139" s="74"/>
      <c r="D139" s="75"/>
      <c r="E139" s="74"/>
      <c r="F139" s="74"/>
    </row>
    <row r="140" customFormat="false" ht="15" hidden="false" customHeight="false" outlineLevel="0" collapsed="false">
      <c r="A140" s="74"/>
      <c r="B140" s="74"/>
      <c r="C140" s="74"/>
      <c r="D140" s="75"/>
      <c r="E140" s="74"/>
      <c r="F140" s="74"/>
    </row>
    <row r="141" customFormat="false" ht="15" hidden="false" customHeight="false" outlineLevel="0" collapsed="false">
      <c r="A141" s="74"/>
      <c r="B141" s="74"/>
      <c r="C141" s="74"/>
      <c r="D141" s="75"/>
      <c r="E141" s="74"/>
      <c r="F141" s="74"/>
    </row>
    <row r="142" customFormat="false" ht="15" hidden="false" customHeight="false" outlineLevel="0" collapsed="false">
      <c r="A142" s="74"/>
      <c r="B142" s="74"/>
      <c r="C142" s="74"/>
      <c r="D142" s="75"/>
      <c r="E142" s="74"/>
      <c r="F142" s="74"/>
    </row>
    <row r="143" customFormat="false" ht="15" hidden="false" customHeight="false" outlineLevel="0" collapsed="false">
      <c r="A143" s="74"/>
      <c r="B143" s="74"/>
      <c r="C143" s="74"/>
      <c r="D143" s="75"/>
      <c r="E143" s="74"/>
      <c r="F143" s="74"/>
    </row>
    <row r="144" customFormat="false" ht="15" hidden="false" customHeight="false" outlineLevel="0" collapsed="false">
      <c r="A144" s="74"/>
      <c r="B144" s="74"/>
      <c r="C144" s="74"/>
      <c r="D144" s="75"/>
      <c r="E144" s="74"/>
      <c r="F144" s="74"/>
    </row>
    <row r="145" customFormat="false" ht="15" hidden="false" customHeight="false" outlineLevel="0" collapsed="false">
      <c r="A145" s="74"/>
      <c r="B145" s="74"/>
      <c r="C145" s="74"/>
      <c r="D145" s="75"/>
      <c r="E145" s="74"/>
      <c r="F145" s="74"/>
    </row>
    <row r="146" customFormat="false" ht="15" hidden="false" customHeight="false" outlineLevel="0" collapsed="false">
      <c r="A146" s="74"/>
      <c r="B146" s="74"/>
      <c r="C146" s="74"/>
      <c r="D146" s="75"/>
      <c r="E146" s="74"/>
      <c r="F146" s="74"/>
    </row>
    <row r="147" customFormat="false" ht="15" hidden="false" customHeight="false" outlineLevel="0" collapsed="false">
      <c r="A147" s="74"/>
      <c r="B147" s="74"/>
      <c r="C147" s="74"/>
      <c r="D147" s="75"/>
      <c r="E147" s="74"/>
      <c r="F147" s="74"/>
    </row>
    <row r="148" customFormat="false" ht="15" hidden="false" customHeight="false" outlineLevel="0" collapsed="false">
      <c r="A148" s="74"/>
      <c r="B148" s="74"/>
      <c r="C148" s="74"/>
      <c r="D148" s="75"/>
      <c r="E148" s="74"/>
      <c r="F148" s="74"/>
    </row>
    <row r="149" customFormat="false" ht="15" hidden="false" customHeight="false" outlineLevel="0" collapsed="false">
      <c r="A149" s="74"/>
      <c r="B149" s="74"/>
      <c r="C149" s="74"/>
      <c r="D149" s="75"/>
      <c r="E149" s="74"/>
      <c r="F149" s="74"/>
    </row>
    <row r="150" customFormat="false" ht="15" hidden="false" customHeight="false" outlineLevel="0" collapsed="false">
      <c r="A150" s="74"/>
      <c r="B150" s="74"/>
      <c r="C150" s="74"/>
      <c r="D150" s="75"/>
      <c r="E150" s="74"/>
      <c r="F150" s="74"/>
    </row>
    <row r="151" customFormat="false" ht="15" hidden="false" customHeight="false" outlineLevel="0" collapsed="false">
      <c r="A151" s="74"/>
      <c r="B151" s="74"/>
      <c r="C151" s="74"/>
      <c r="D151" s="75"/>
      <c r="E151" s="74"/>
      <c r="F151" s="74"/>
    </row>
    <row r="152" customFormat="false" ht="15" hidden="false" customHeight="false" outlineLevel="0" collapsed="false">
      <c r="A152" s="74"/>
      <c r="B152" s="74"/>
      <c r="C152" s="74"/>
      <c r="D152" s="75"/>
      <c r="E152" s="74"/>
      <c r="F152" s="74"/>
    </row>
    <row r="153" customFormat="false" ht="15" hidden="false" customHeight="false" outlineLevel="0" collapsed="false">
      <c r="A153" s="74"/>
      <c r="B153" s="74"/>
      <c r="C153" s="74"/>
      <c r="D153" s="75"/>
      <c r="E153" s="74"/>
      <c r="F153" s="74"/>
    </row>
    <row r="154" customFormat="false" ht="15" hidden="false" customHeight="false" outlineLevel="0" collapsed="false">
      <c r="A154" s="74"/>
      <c r="B154" s="74"/>
      <c r="C154" s="74"/>
      <c r="D154" s="75"/>
      <c r="E154" s="74"/>
      <c r="F154" s="74"/>
    </row>
    <row r="155" customFormat="false" ht="15" hidden="false" customHeight="false" outlineLevel="0" collapsed="false">
      <c r="A155" s="74"/>
      <c r="B155" s="74"/>
      <c r="C155" s="74"/>
      <c r="D155" s="75"/>
      <c r="E155" s="74"/>
      <c r="F155" s="74"/>
    </row>
    <row r="156" customFormat="false" ht="15" hidden="false" customHeight="false" outlineLevel="0" collapsed="false">
      <c r="A156" s="74"/>
      <c r="B156" s="74"/>
      <c r="C156" s="74"/>
      <c r="D156" s="75"/>
      <c r="E156" s="74"/>
      <c r="F156" s="74"/>
    </row>
    <row r="157" customFormat="false" ht="15" hidden="false" customHeight="false" outlineLevel="0" collapsed="false">
      <c r="A157" s="74"/>
      <c r="B157" s="74"/>
      <c r="C157" s="74"/>
      <c r="D157" s="75"/>
      <c r="E157" s="74"/>
      <c r="F157" s="74"/>
    </row>
    <row r="158" customFormat="false" ht="15" hidden="false" customHeight="false" outlineLevel="0" collapsed="false">
      <c r="A158" s="74"/>
      <c r="B158" s="74"/>
      <c r="C158" s="74"/>
      <c r="D158" s="75"/>
      <c r="E158" s="74"/>
      <c r="F158" s="74"/>
    </row>
    <row r="159" customFormat="false" ht="15" hidden="false" customHeight="false" outlineLevel="0" collapsed="false">
      <c r="A159" s="74"/>
      <c r="B159" s="74"/>
      <c r="C159" s="74"/>
      <c r="D159" s="75"/>
      <c r="E159" s="74"/>
      <c r="F159" s="74"/>
    </row>
    <row r="160" customFormat="false" ht="15" hidden="false" customHeight="false" outlineLevel="0" collapsed="false">
      <c r="A160" s="74"/>
      <c r="B160" s="74"/>
      <c r="C160" s="74"/>
      <c r="D160" s="75"/>
      <c r="E160" s="74"/>
      <c r="F160" s="74"/>
    </row>
    <row r="161" customFormat="false" ht="15" hidden="false" customHeight="false" outlineLevel="0" collapsed="false">
      <c r="A161" s="74"/>
      <c r="B161" s="74"/>
      <c r="C161" s="74"/>
      <c r="D161" s="75"/>
      <c r="E161" s="74"/>
      <c r="F161" s="74"/>
    </row>
    <row r="162" customFormat="false" ht="15" hidden="false" customHeight="false" outlineLevel="0" collapsed="false">
      <c r="A162" s="74"/>
      <c r="B162" s="74"/>
      <c r="C162" s="74"/>
      <c r="D162" s="75"/>
      <c r="E162" s="74"/>
      <c r="F162" s="74"/>
    </row>
    <row r="163" customFormat="false" ht="15" hidden="false" customHeight="false" outlineLevel="0" collapsed="false">
      <c r="A163" s="74"/>
      <c r="B163" s="74"/>
      <c r="C163" s="74"/>
      <c r="D163" s="75"/>
      <c r="E163" s="74"/>
      <c r="F163" s="74"/>
    </row>
    <row r="164" customFormat="false" ht="15" hidden="false" customHeight="false" outlineLevel="0" collapsed="false">
      <c r="A164" s="74"/>
      <c r="B164" s="74"/>
      <c r="C164" s="74"/>
      <c r="D164" s="75"/>
      <c r="E164" s="74"/>
      <c r="F164" s="74"/>
    </row>
    <row r="165" customFormat="false" ht="15" hidden="false" customHeight="false" outlineLevel="0" collapsed="false">
      <c r="A165" s="74"/>
      <c r="B165" s="74"/>
      <c r="C165" s="74"/>
      <c r="D165" s="75"/>
      <c r="E165" s="74"/>
      <c r="F165" s="74"/>
    </row>
    <row r="166" customFormat="false" ht="15" hidden="false" customHeight="false" outlineLevel="0" collapsed="false">
      <c r="A166" s="74"/>
      <c r="B166" s="74"/>
      <c r="C166" s="74"/>
      <c r="D166" s="75"/>
      <c r="E166" s="74"/>
      <c r="F166" s="74"/>
    </row>
    <row r="167" customFormat="false" ht="15" hidden="false" customHeight="false" outlineLevel="0" collapsed="false">
      <c r="A167" s="74"/>
      <c r="B167" s="74"/>
      <c r="C167" s="74"/>
      <c r="D167" s="75"/>
      <c r="E167" s="74"/>
      <c r="F167" s="74"/>
    </row>
    <row r="168" customFormat="false" ht="15" hidden="false" customHeight="false" outlineLevel="0" collapsed="false">
      <c r="A168" s="74"/>
      <c r="B168" s="74"/>
      <c r="C168" s="74"/>
      <c r="D168" s="75"/>
      <c r="E168" s="74"/>
      <c r="F168" s="74"/>
    </row>
    <row r="169" customFormat="false" ht="15" hidden="false" customHeight="false" outlineLevel="0" collapsed="false">
      <c r="A169" s="74"/>
      <c r="B169" s="74"/>
      <c r="C169" s="74"/>
      <c r="D169" s="75"/>
      <c r="E169" s="74"/>
      <c r="F169" s="74"/>
    </row>
    <row r="170" customFormat="false" ht="15" hidden="false" customHeight="false" outlineLevel="0" collapsed="false">
      <c r="A170" s="74"/>
      <c r="B170" s="74"/>
      <c r="C170" s="74"/>
      <c r="D170" s="75"/>
      <c r="E170" s="74"/>
      <c r="F170" s="74"/>
    </row>
    <row r="171" customFormat="false" ht="15" hidden="false" customHeight="false" outlineLevel="0" collapsed="false">
      <c r="A171" s="74"/>
      <c r="B171" s="74"/>
      <c r="C171" s="74"/>
      <c r="D171" s="75"/>
      <c r="E171" s="74"/>
      <c r="F171" s="74"/>
    </row>
    <row r="172" customFormat="false" ht="15" hidden="false" customHeight="false" outlineLevel="0" collapsed="false">
      <c r="A172" s="74"/>
      <c r="B172" s="74"/>
      <c r="C172" s="74"/>
      <c r="D172" s="75"/>
      <c r="E172" s="74"/>
      <c r="F172" s="74"/>
    </row>
    <row r="173" customFormat="false" ht="15" hidden="false" customHeight="false" outlineLevel="0" collapsed="false">
      <c r="A173" s="74"/>
      <c r="B173" s="74"/>
      <c r="C173" s="74"/>
      <c r="D173" s="75"/>
      <c r="E173" s="74"/>
      <c r="F173" s="74"/>
    </row>
    <row r="174" customFormat="false" ht="15" hidden="false" customHeight="false" outlineLevel="0" collapsed="false">
      <c r="A174" s="74"/>
      <c r="B174" s="74"/>
      <c r="C174" s="74"/>
      <c r="D174" s="75"/>
      <c r="E174" s="74"/>
      <c r="F174" s="74"/>
    </row>
    <row r="175" customFormat="false" ht="15" hidden="false" customHeight="false" outlineLevel="0" collapsed="false">
      <c r="A175" s="74"/>
      <c r="B175" s="74"/>
      <c r="C175" s="74"/>
      <c r="D175" s="75"/>
      <c r="E175" s="74"/>
      <c r="F175" s="74"/>
    </row>
    <row r="176" customFormat="false" ht="15" hidden="false" customHeight="false" outlineLevel="0" collapsed="false">
      <c r="A176" s="74"/>
      <c r="B176" s="74"/>
      <c r="C176" s="74"/>
      <c r="D176" s="75"/>
      <c r="E176" s="74"/>
      <c r="F176" s="74"/>
    </row>
    <row r="177" customFormat="false" ht="15" hidden="false" customHeight="false" outlineLevel="0" collapsed="false">
      <c r="A177" s="74"/>
      <c r="B177" s="74"/>
      <c r="C177" s="74"/>
      <c r="D177" s="75"/>
      <c r="E177" s="74"/>
      <c r="F177" s="74"/>
    </row>
    <row r="178" customFormat="false" ht="15" hidden="false" customHeight="false" outlineLevel="0" collapsed="false">
      <c r="A178" s="74"/>
      <c r="B178" s="74"/>
      <c r="C178" s="74"/>
      <c r="D178" s="75"/>
      <c r="E178" s="74"/>
      <c r="F178" s="74"/>
    </row>
    <row r="179" customFormat="false" ht="15" hidden="false" customHeight="false" outlineLevel="0" collapsed="false">
      <c r="A179" s="74"/>
      <c r="B179" s="74"/>
      <c r="C179" s="74"/>
      <c r="D179" s="75"/>
      <c r="E179" s="74"/>
      <c r="F179" s="74"/>
    </row>
    <row r="180" customFormat="false" ht="15" hidden="false" customHeight="false" outlineLevel="0" collapsed="false">
      <c r="A180" s="74"/>
      <c r="B180" s="74"/>
      <c r="C180" s="74"/>
      <c r="D180" s="75"/>
      <c r="E180" s="74"/>
      <c r="F180" s="74"/>
    </row>
    <row r="181" customFormat="false" ht="15" hidden="false" customHeight="false" outlineLevel="0" collapsed="false">
      <c r="A181" s="74"/>
      <c r="B181" s="74"/>
      <c r="C181" s="74"/>
      <c r="D181" s="75"/>
      <c r="E181" s="74"/>
      <c r="F181" s="74"/>
    </row>
    <row r="182" customFormat="false" ht="15" hidden="false" customHeight="false" outlineLevel="0" collapsed="false">
      <c r="A182" s="74"/>
      <c r="B182" s="74"/>
      <c r="C182" s="74"/>
      <c r="D182" s="75"/>
      <c r="E182" s="74"/>
      <c r="F182" s="74"/>
    </row>
    <row r="183" customFormat="false" ht="15" hidden="false" customHeight="false" outlineLevel="0" collapsed="false">
      <c r="A183" s="74"/>
      <c r="B183" s="74"/>
      <c r="C183" s="74"/>
      <c r="D183" s="75"/>
      <c r="E183" s="74"/>
      <c r="F183" s="74"/>
    </row>
    <row r="184" customFormat="false" ht="15" hidden="false" customHeight="false" outlineLevel="0" collapsed="false">
      <c r="A184" s="74"/>
      <c r="B184" s="74"/>
      <c r="C184" s="74"/>
      <c r="D184" s="75"/>
      <c r="E184" s="74"/>
      <c r="F184" s="74"/>
    </row>
    <row r="185" customFormat="false" ht="15" hidden="false" customHeight="false" outlineLevel="0" collapsed="false">
      <c r="A185" s="74"/>
      <c r="B185" s="74"/>
      <c r="C185" s="74"/>
      <c r="D185" s="75"/>
      <c r="E185" s="74"/>
      <c r="F185" s="74"/>
    </row>
    <row r="186" customFormat="false" ht="15" hidden="false" customHeight="false" outlineLevel="0" collapsed="false">
      <c r="A186" s="74"/>
      <c r="B186" s="74"/>
      <c r="C186" s="74"/>
      <c r="D186" s="75"/>
      <c r="E186" s="74"/>
      <c r="F186" s="74"/>
    </row>
    <row r="187" customFormat="false" ht="15" hidden="false" customHeight="false" outlineLevel="0" collapsed="false">
      <c r="A187" s="74"/>
      <c r="B187" s="74"/>
      <c r="C187" s="74"/>
      <c r="D187" s="75"/>
      <c r="E187" s="74"/>
      <c r="F187" s="74"/>
    </row>
    <row r="188" customFormat="false" ht="15" hidden="false" customHeight="false" outlineLevel="0" collapsed="false">
      <c r="A188" s="74"/>
      <c r="B188" s="74"/>
      <c r="C188" s="74"/>
      <c r="D188" s="75"/>
      <c r="E188" s="74"/>
      <c r="F188" s="74"/>
    </row>
    <row r="189" customFormat="false" ht="15" hidden="false" customHeight="false" outlineLevel="0" collapsed="false">
      <c r="A189" s="74"/>
      <c r="B189" s="74"/>
      <c r="C189" s="74"/>
      <c r="D189" s="75"/>
      <c r="E189" s="74"/>
      <c r="F189" s="74"/>
    </row>
    <row r="190" customFormat="false" ht="15" hidden="false" customHeight="false" outlineLevel="0" collapsed="false">
      <c r="A190" s="74"/>
      <c r="B190" s="74"/>
      <c r="C190" s="74"/>
      <c r="D190" s="75"/>
      <c r="E190" s="74"/>
      <c r="F190" s="74"/>
    </row>
    <row r="191" customFormat="false" ht="15" hidden="false" customHeight="false" outlineLevel="0" collapsed="false">
      <c r="A191" s="74"/>
      <c r="B191" s="74"/>
      <c r="C191" s="74"/>
      <c r="D191" s="75"/>
      <c r="E191" s="74"/>
      <c r="F191" s="74"/>
    </row>
    <row r="192" customFormat="false" ht="15" hidden="false" customHeight="false" outlineLevel="0" collapsed="false">
      <c r="A192" s="74"/>
      <c r="B192" s="74"/>
      <c r="C192" s="74"/>
      <c r="D192" s="75"/>
      <c r="E192" s="74"/>
      <c r="F192" s="74"/>
    </row>
    <row r="193" customFormat="false" ht="15" hidden="false" customHeight="false" outlineLevel="0" collapsed="false">
      <c r="A193" s="74"/>
      <c r="B193" s="74"/>
      <c r="C193" s="74"/>
      <c r="D193" s="75"/>
      <c r="E193" s="74"/>
      <c r="F193" s="74"/>
    </row>
    <row r="194" customFormat="false" ht="15" hidden="false" customHeight="false" outlineLevel="0" collapsed="false">
      <c r="A194" s="74"/>
      <c r="B194" s="74"/>
      <c r="C194" s="74"/>
      <c r="D194" s="75"/>
      <c r="E194" s="74"/>
      <c r="F194" s="74"/>
    </row>
    <row r="195" customFormat="false" ht="15" hidden="false" customHeight="false" outlineLevel="0" collapsed="false">
      <c r="A195" s="74"/>
      <c r="B195" s="74"/>
      <c r="C195" s="74"/>
      <c r="D195" s="75"/>
      <c r="E195" s="74"/>
      <c r="F195" s="74"/>
    </row>
    <row r="196" customFormat="false" ht="15" hidden="false" customHeight="false" outlineLevel="0" collapsed="false">
      <c r="A196" s="74"/>
      <c r="B196" s="74"/>
      <c r="C196" s="74"/>
      <c r="D196" s="75"/>
      <c r="E196" s="74"/>
      <c r="F196" s="74"/>
    </row>
    <row r="197" customFormat="false" ht="15" hidden="false" customHeight="false" outlineLevel="0" collapsed="false">
      <c r="A197" s="74"/>
      <c r="B197" s="74"/>
      <c r="C197" s="74"/>
      <c r="D197" s="75"/>
      <c r="E197" s="74"/>
      <c r="F197" s="74"/>
    </row>
    <row r="198" customFormat="false" ht="15" hidden="false" customHeight="false" outlineLevel="0" collapsed="false">
      <c r="A198" s="74"/>
      <c r="B198" s="74"/>
      <c r="C198" s="74"/>
      <c r="D198" s="75"/>
      <c r="E198" s="74"/>
      <c r="F198" s="74"/>
    </row>
    <row r="199" customFormat="false" ht="15" hidden="false" customHeight="false" outlineLevel="0" collapsed="false">
      <c r="A199" s="74"/>
      <c r="B199" s="74"/>
      <c r="C199" s="74"/>
      <c r="D199" s="75"/>
      <c r="E199" s="74"/>
      <c r="F199" s="74"/>
    </row>
    <row r="200" customFormat="false" ht="15" hidden="false" customHeight="false" outlineLevel="0" collapsed="false">
      <c r="A200" s="74"/>
      <c r="B200" s="74"/>
      <c r="C200" s="74"/>
      <c r="D200" s="75"/>
      <c r="E200" s="74"/>
      <c r="F200" s="74"/>
    </row>
    <row r="201" customFormat="false" ht="15" hidden="false" customHeight="false" outlineLevel="0" collapsed="false">
      <c r="A201" s="74"/>
      <c r="B201" s="74"/>
      <c r="C201" s="74"/>
      <c r="D201" s="75"/>
      <c r="E201" s="74"/>
      <c r="F201" s="74"/>
    </row>
    <row r="202" customFormat="false" ht="15" hidden="false" customHeight="false" outlineLevel="0" collapsed="false">
      <c r="A202" s="74"/>
      <c r="B202" s="74"/>
      <c r="C202" s="74"/>
      <c r="D202" s="75"/>
      <c r="E202" s="74"/>
      <c r="F202" s="74"/>
    </row>
    <row r="203" customFormat="false" ht="15" hidden="false" customHeight="false" outlineLevel="0" collapsed="false">
      <c r="A203" s="74"/>
      <c r="B203" s="74"/>
      <c r="C203" s="74"/>
      <c r="D203" s="75"/>
      <c r="E203" s="74"/>
      <c r="F203" s="74"/>
    </row>
    <row r="204" customFormat="false" ht="15" hidden="false" customHeight="false" outlineLevel="0" collapsed="false">
      <c r="A204" s="74"/>
      <c r="B204" s="74"/>
      <c r="C204" s="74"/>
      <c r="D204" s="75"/>
      <c r="E204" s="74"/>
      <c r="F204" s="74"/>
    </row>
    <row r="205" customFormat="false" ht="15" hidden="false" customHeight="false" outlineLevel="0" collapsed="false">
      <c r="A205" s="74"/>
      <c r="B205" s="74"/>
      <c r="C205" s="74"/>
      <c r="D205" s="75"/>
      <c r="E205" s="74"/>
      <c r="F205" s="74"/>
    </row>
    <row r="206" customFormat="false" ht="15" hidden="false" customHeight="false" outlineLevel="0" collapsed="false">
      <c r="A206" s="74"/>
      <c r="B206" s="74"/>
      <c r="C206" s="74"/>
      <c r="D206" s="75"/>
      <c r="E206" s="74"/>
      <c r="F206" s="74"/>
    </row>
    <row r="207" customFormat="false" ht="15" hidden="false" customHeight="false" outlineLevel="0" collapsed="false">
      <c r="A207" s="74"/>
      <c r="B207" s="74"/>
      <c r="C207" s="74"/>
      <c r="D207" s="75"/>
      <c r="E207" s="74"/>
      <c r="F207" s="74"/>
    </row>
    <row r="208" customFormat="false" ht="15" hidden="false" customHeight="false" outlineLevel="0" collapsed="false">
      <c r="A208" s="74"/>
      <c r="B208" s="74"/>
      <c r="C208" s="74"/>
      <c r="D208" s="75"/>
      <c r="E208" s="74"/>
      <c r="F208" s="74"/>
    </row>
    <row r="209" customFormat="false" ht="15" hidden="false" customHeight="false" outlineLevel="0" collapsed="false">
      <c r="A209" s="74"/>
      <c r="B209" s="74"/>
      <c r="C209" s="74"/>
      <c r="D209" s="75"/>
      <c r="E209" s="74"/>
      <c r="F209" s="74"/>
    </row>
    <row r="210" customFormat="false" ht="15" hidden="false" customHeight="false" outlineLevel="0" collapsed="false">
      <c r="A210" s="74"/>
      <c r="B210" s="74"/>
      <c r="C210" s="74"/>
      <c r="D210" s="75"/>
      <c r="E210" s="74"/>
      <c r="F210" s="74"/>
    </row>
    <row r="211" customFormat="false" ht="15" hidden="false" customHeight="false" outlineLevel="0" collapsed="false">
      <c r="A211" s="74"/>
      <c r="B211" s="74"/>
      <c r="C211" s="74"/>
      <c r="D211" s="75"/>
      <c r="E211" s="74"/>
      <c r="F211" s="74"/>
    </row>
    <row r="212" customFormat="false" ht="15" hidden="false" customHeight="false" outlineLevel="0" collapsed="false">
      <c r="A212" s="74"/>
      <c r="B212" s="74"/>
      <c r="C212" s="74"/>
      <c r="D212" s="75"/>
      <c r="E212" s="74"/>
      <c r="F212" s="74"/>
    </row>
    <row r="213" customFormat="false" ht="15" hidden="false" customHeight="false" outlineLevel="0" collapsed="false">
      <c r="A213" s="74"/>
      <c r="B213" s="74"/>
      <c r="C213" s="74"/>
      <c r="D213" s="75"/>
      <c r="E213" s="74"/>
      <c r="F213" s="74"/>
    </row>
    <row r="214" customFormat="false" ht="15" hidden="false" customHeight="false" outlineLevel="0" collapsed="false">
      <c r="A214" s="74"/>
      <c r="B214" s="74"/>
      <c r="C214" s="74"/>
      <c r="D214" s="75"/>
      <c r="E214" s="74"/>
      <c r="F214" s="74"/>
    </row>
    <row r="215" customFormat="false" ht="15" hidden="false" customHeight="false" outlineLevel="0" collapsed="false">
      <c r="A215" s="74"/>
      <c r="B215" s="74"/>
      <c r="C215" s="74"/>
      <c r="D215" s="75"/>
      <c r="E215" s="74"/>
      <c r="F215" s="74"/>
    </row>
    <row r="216" customFormat="false" ht="15" hidden="false" customHeight="false" outlineLevel="0" collapsed="false">
      <c r="A216" s="74"/>
      <c r="B216" s="74"/>
      <c r="C216" s="74"/>
      <c r="D216" s="75"/>
      <c r="E216" s="74"/>
      <c r="F216" s="74"/>
    </row>
    <row r="217" customFormat="false" ht="15" hidden="false" customHeight="false" outlineLevel="0" collapsed="false">
      <c r="A217" s="74"/>
      <c r="B217" s="74"/>
      <c r="C217" s="74"/>
      <c r="D217" s="75"/>
      <c r="E217" s="74"/>
      <c r="F217" s="74"/>
    </row>
    <row r="218" customFormat="false" ht="15" hidden="false" customHeight="false" outlineLevel="0" collapsed="false">
      <c r="A218" s="74"/>
      <c r="B218" s="74"/>
      <c r="C218" s="74"/>
      <c r="D218" s="75"/>
      <c r="E218" s="74"/>
      <c r="F218" s="74"/>
    </row>
    <row r="219" customFormat="false" ht="15" hidden="false" customHeight="false" outlineLevel="0" collapsed="false">
      <c r="A219" s="74"/>
      <c r="B219" s="74"/>
      <c r="C219" s="74"/>
      <c r="D219" s="75"/>
      <c r="E219" s="74"/>
      <c r="F219" s="74"/>
    </row>
    <row r="220" customFormat="false" ht="15" hidden="false" customHeight="false" outlineLevel="0" collapsed="false">
      <c r="A220" s="74"/>
      <c r="B220" s="74"/>
      <c r="C220" s="74"/>
      <c r="D220" s="75"/>
      <c r="E220" s="74"/>
      <c r="F220" s="74"/>
    </row>
    <row r="221" customFormat="false" ht="15" hidden="false" customHeight="false" outlineLevel="0" collapsed="false">
      <c r="A221" s="74"/>
      <c r="B221" s="74"/>
      <c r="C221" s="74"/>
      <c r="D221" s="75"/>
      <c r="E221" s="74"/>
      <c r="F221" s="74"/>
    </row>
    <row r="222" customFormat="false" ht="15" hidden="false" customHeight="false" outlineLevel="0" collapsed="false">
      <c r="A222" s="74"/>
      <c r="B222" s="74"/>
      <c r="C222" s="74"/>
      <c r="D222" s="75"/>
      <c r="E222" s="74"/>
      <c r="F222" s="74"/>
    </row>
    <row r="223" customFormat="false" ht="15" hidden="false" customHeight="false" outlineLevel="0" collapsed="false">
      <c r="A223" s="74"/>
      <c r="B223" s="74"/>
      <c r="C223" s="74"/>
      <c r="D223" s="75"/>
      <c r="E223" s="74"/>
      <c r="F223" s="74"/>
    </row>
    <row r="224" customFormat="false" ht="15" hidden="false" customHeight="false" outlineLevel="0" collapsed="false">
      <c r="A224" s="74"/>
      <c r="B224" s="74"/>
      <c r="C224" s="74"/>
      <c r="D224" s="75"/>
      <c r="E224" s="74"/>
      <c r="F224" s="74"/>
    </row>
    <row r="225" customFormat="false" ht="15" hidden="false" customHeight="false" outlineLevel="0" collapsed="false">
      <c r="A225" s="74"/>
      <c r="B225" s="74"/>
      <c r="C225" s="74"/>
      <c r="D225" s="75"/>
      <c r="E225" s="74"/>
      <c r="F225" s="74"/>
    </row>
    <row r="226" customFormat="false" ht="15" hidden="false" customHeight="false" outlineLevel="0" collapsed="false">
      <c r="A226" s="74"/>
      <c r="B226" s="74"/>
      <c r="C226" s="74"/>
      <c r="D226" s="75"/>
      <c r="E226" s="74"/>
      <c r="F226" s="74"/>
    </row>
    <row r="227" customFormat="false" ht="15" hidden="false" customHeight="false" outlineLevel="0" collapsed="false">
      <c r="A227" s="74"/>
      <c r="B227" s="74"/>
      <c r="C227" s="74"/>
      <c r="D227" s="75"/>
      <c r="E227" s="74"/>
      <c r="F227" s="74"/>
    </row>
    <row r="228" customFormat="false" ht="15" hidden="false" customHeight="false" outlineLevel="0" collapsed="false">
      <c r="A228" s="74"/>
      <c r="B228" s="74"/>
      <c r="C228" s="74"/>
      <c r="D228" s="75"/>
      <c r="E228" s="74"/>
      <c r="F228" s="74"/>
    </row>
    <row r="229" customFormat="false" ht="15" hidden="false" customHeight="false" outlineLevel="0" collapsed="false">
      <c r="A229" s="74"/>
      <c r="B229" s="74"/>
      <c r="C229" s="74"/>
      <c r="D229" s="75"/>
      <c r="E229" s="74"/>
      <c r="F229" s="74"/>
    </row>
    <row r="230" customFormat="false" ht="15" hidden="false" customHeight="false" outlineLevel="0" collapsed="false">
      <c r="A230" s="74"/>
      <c r="B230" s="74"/>
      <c r="C230" s="74"/>
      <c r="D230" s="75"/>
      <c r="E230" s="74"/>
      <c r="F230" s="74"/>
    </row>
    <row r="231" customFormat="false" ht="15" hidden="false" customHeight="false" outlineLevel="0" collapsed="false">
      <c r="A231" s="74"/>
      <c r="B231" s="74"/>
      <c r="C231" s="74"/>
      <c r="D231" s="75"/>
      <c r="E231" s="74"/>
      <c r="F231" s="74"/>
    </row>
    <row r="232" customFormat="false" ht="15" hidden="false" customHeight="false" outlineLevel="0" collapsed="false">
      <c r="A232" s="74"/>
      <c r="B232" s="74"/>
      <c r="C232" s="74"/>
      <c r="D232" s="75"/>
      <c r="E232" s="74"/>
      <c r="F232" s="74"/>
    </row>
    <row r="233" customFormat="false" ht="15" hidden="false" customHeight="false" outlineLevel="0" collapsed="false">
      <c r="A233" s="74"/>
      <c r="B233" s="74"/>
      <c r="C233" s="74"/>
      <c r="D233" s="75"/>
      <c r="E233" s="74"/>
      <c r="F233" s="74"/>
    </row>
    <row r="234" customFormat="false" ht="15" hidden="false" customHeight="false" outlineLevel="0" collapsed="false">
      <c r="A234" s="74"/>
      <c r="B234" s="74"/>
      <c r="C234" s="74"/>
      <c r="D234" s="75"/>
      <c r="E234" s="74"/>
      <c r="F234" s="74"/>
    </row>
    <row r="235" customFormat="false" ht="15" hidden="false" customHeight="false" outlineLevel="0" collapsed="false">
      <c r="A235" s="74"/>
      <c r="B235" s="74"/>
      <c r="C235" s="74"/>
      <c r="D235" s="75"/>
      <c r="E235" s="74"/>
      <c r="F235" s="74"/>
    </row>
    <row r="236" customFormat="false" ht="15" hidden="false" customHeight="false" outlineLevel="0" collapsed="false">
      <c r="A236" s="74"/>
      <c r="B236" s="74"/>
      <c r="C236" s="74"/>
      <c r="D236" s="75"/>
      <c r="E236" s="74"/>
      <c r="F236" s="74"/>
    </row>
    <row r="237" customFormat="false" ht="15" hidden="false" customHeight="false" outlineLevel="0" collapsed="false">
      <c r="A237" s="74"/>
      <c r="B237" s="74"/>
      <c r="C237" s="74"/>
      <c r="D237" s="75"/>
      <c r="E237" s="74"/>
      <c r="F237" s="74"/>
    </row>
    <row r="238" customFormat="false" ht="15" hidden="false" customHeight="false" outlineLevel="0" collapsed="false">
      <c r="A238" s="74"/>
      <c r="B238" s="74"/>
      <c r="C238" s="74"/>
      <c r="D238" s="75"/>
      <c r="E238" s="74"/>
      <c r="F238" s="74"/>
    </row>
    <row r="239" customFormat="false" ht="15" hidden="false" customHeight="false" outlineLevel="0" collapsed="false">
      <c r="A239" s="74"/>
      <c r="B239" s="74"/>
      <c r="C239" s="74"/>
      <c r="D239" s="75"/>
      <c r="E239" s="74"/>
      <c r="F239" s="74"/>
    </row>
    <row r="240" customFormat="false" ht="15" hidden="false" customHeight="false" outlineLevel="0" collapsed="false">
      <c r="A240" s="74"/>
      <c r="B240" s="74"/>
      <c r="C240" s="74"/>
      <c r="D240" s="75"/>
      <c r="E240" s="74"/>
      <c r="F240" s="74"/>
    </row>
    <row r="241" customFormat="false" ht="15" hidden="false" customHeight="false" outlineLevel="0" collapsed="false">
      <c r="A241" s="74"/>
      <c r="B241" s="74"/>
      <c r="C241" s="74"/>
      <c r="D241" s="75"/>
      <c r="E241" s="74"/>
      <c r="F241" s="74"/>
    </row>
    <row r="242" customFormat="false" ht="15" hidden="false" customHeight="false" outlineLevel="0" collapsed="false">
      <c r="A242" s="74"/>
      <c r="B242" s="74"/>
      <c r="C242" s="74"/>
      <c r="D242" s="75"/>
      <c r="E242" s="74"/>
      <c r="F242" s="74"/>
    </row>
    <row r="243" customFormat="false" ht="15" hidden="false" customHeight="false" outlineLevel="0" collapsed="false">
      <c r="A243" s="74"/>
      <c r="B243" s="74"/>
      <c r="C243" s="74"/>
      <c r="D243" s="75"/>
      <c r="E243" s="74"/>
      <c r="F243" s="74"/>
    </row>
    <row r="244" customFormat="false" ht="15" hidden="false" customHeight="false" outlineLevel="0" collapsed="false">
      <c r="A244" s="74"/>
      <c r="B244" s="74"/>
      <c r="C244" s="74"/>
      <c r="D244" s="75"/>
      <c r="E244" s="74"/>
      <c r="F244" s="74"/>
    </row>
    <row r="245" customFormat="false" ht="15" hidden="false" customHeight="false" outlineLevel="0" collapsed="false">
      <c r="A245" s="74"/>
      <c r="B245" s="74"/>
      <c r="C245" s="74"/>
      <c r="D245" s="75"/>
      <c r="E245" s="74"/>
      <c r="F245" s="74"/>
    </row>
    <row r="246" customFormat="false" ht="15" hidden="false" customHeight="false" outlineLevel="0" collapsed="false">
      <c r="A246" s="74"/>
      <c r="B246" s="74"/>
      <c r="C246" s="74"/>
      <c r="D246" s="75"/>
      <c r="E246" s="74"/>
      <c r="F246" s="74"/>
    </row>
    <row r="247" customFormat="false" ht="15" hidden="false" customHeight="false" outlineLevel="0" collapsed="false">
      <c r="A247" s="74"/>
      <c r="B247" s="74"/>
      <c r="C247" s="74"/>
      <c r="D247" s="75"/>
      <c r="E247" s="74"/>
      <c r="F247" s="74"/>
    </row>
    <row r="248" customFormat="false" ht="15" hidden="false" customHeight="false" outlineLevel="0" collapsed="false">
      <c r="A248" s="74"/>
      <c r="B248" s="74"/>
      <c r="C248" s="74"/>
      <c r="D248" s="75"/>
      <c r="E248" s="74"/>
      <c r="F248" s="74"/>
    </row>
    <row r="249" customFormat="false" ht="15" hidden="false" customHeight="false" outlineLevel="0" collapsed="false">
      <c r="A249" s="74"/>
      <c r="B249" s="74"/>
      <c r="C249" s="74"/>
      <c r="D249" s="75"/>
      <c r="E249" s="74"/>
      <c r="F249" s="74"/>
    </row>
    <row r="250" customFormat="false" ht="15" hidden="false" customHeight="false" outlineLevel="0" collapsed="false">
      <c r="A250" s="74"/>
      <c r="B250" s="74"/>
      <c r="C250" s="74"/>
      <c r="D250" s="75"/>
      <c r="E250" s="74"/>
      <c r="F250" s="74"/>
    </row>
    <row r="251" customFormat="false" ht="15" hidden="false" customHeight="false" outlineLevel="0" collapsed="false">
      <c r="A251" s="74"/>
      <c r="B251" s="74"/>
      <c r="C251" s="74"/>
      <c r="D251" s="75"/>
      <c r="E251" s="74"/>
      <c r="F251" s="74"/>
    </row>
    <row r="252" customFormat="false" ht="15" hidden="false" customHeight="false" outlineLevel="0" collapsed="false">
      <c r="A252" s="74"/>
      <c r="B252" s="74"/>
      <c r="C252" s="74"/>
      <c r="D252" s="75"/>
      <c r="E252" s="74"/>
      <c r="F252" s="74"/>
    </row>
    <row r="253" customFormat="false" ht="15" hidden="false" customHeight="false" outlineLevel="0" collapsed="false">
      <c r="A253" s="74"/>
      <c r="B253" s="74"/>
      <c r="C253" s="74"/>
      <c r="D253" s="75"/>
      <c r="E253" s="74"/>
      <c r="F253" s="74"/>
    </row>
    <row r="254" customFormat="false" ht="15" hidden="false" customHeight="false" outlineLevel="0" collapsed="false">
      <c r="A254" s="74"/>
      <c r="B254" s="74"/>
      <c r="C254" s="74"/>
      <c r="D254" s="75"/>
      <c r="E254" s="74"/>
      <c r="F254" s="74"/>
    </row>
    <row r="255" customFormat="false" ht="15" hidden="false" customHeight="false" outlineLevel="0" collapsed="false">
      <c r="A255" s="74"/>
      <c r="B255" s="74"/>
      <c r="C255" s="74"/>
      <c r="D255" s="75"/>
      <c r="E255" s="74"/>
      <c r="F255" s="74"/>
    </row>
    <row r="256" customFormat="false" ht="15" hidden="false" customHeight="false" outlineLevel="0" collapsed="false">
      <c r="A256" s="74"/>
      <c r="B256" s="74"/>
      <c r="C256" s="74"/>
      <c r="D256" s="75"/>
      <c r="E256" s="74"/>
      <c r="F256" s="74"/>
    </row>
    <row r="257" customFormat="false" ht="15" hidden="false" customHeight="false" outlineLevel="0" collapsed="false">
      <c r="A257" s="74"/>
      <c r="B257" s="74"/>
      <c r="C257" s="74"/>
      <c r="D257" s="75"/>
      <c r="E257" s="74"/>
      <c r="F257" s="74"/>
    </row>
    <row r="258" customFormat="false" ht="15" hidden="false" customHeight="false" outlineLevel="0" collapsed="false">
      <c r="A258" s="74"/>
      <c r="B258" s="74"/>
      <c r="C258" s="74"/>
      <c r="D258" s="75"/>
      <c r="E258" s="74"/>
      <c r="F258" s="74"/>
    </row>
    <row r="259" customFormat="false" ht="15" hidden="false" customHeight="false" outlineLevel="0" collapsed="false">
      <c r="A259" s="74"/>
      <c r="B259" s="74"/>
      <c r="C259" s="74"/>
      <c r="D259" s="75"/>
      <c r="E259" s="74"/>
      <c r="F259" s="74"/>
    </row>
    <row r="260" customFormat="false" ht="15" hidden="false" customHeight="false" outlineLevel="0" collapsed="false">
      <c r="A260" s="74"/>
      <c r="B260" s="74"/>
      <c r="C260" s="74"/>
      <c r="D260" s="75"/>
      <c r="E260" s="74"/>
      <c r="F260" s="74"/>
    </row>
    <row r="261" customFormat="false" ht="15" hidden="false" customHeight="false" outlineLevel="0" collapsed="false">
      <c r="A261" s="74"/>
      <c r="B261" s="74"/>
      <c r="C261" s="74"/>
      <c r="D261" s="75"/>
      <c r="E261" s="74"/>
      <c r="F261" s="74"/>
    </row>
    <row r="262" customFormat="false" ht="15" hidden="false" customHeight="false" outlineLevel="0" collapsed="false">
      <c r="A262" s="74"/>
      <c r="B262" s="74"/>
      <c r="C262" s="74"/>
      <c r="D262" s="75"/>
      <c r="E262" s="74"/>
      <c r="F262" s="74"/>
    </row>
    <row r="263" customFormat="false" ht="15" hidden="false" customHeight="false" outlineLevel="0" collapsed="false">
      <c r="A263" s="74"/>
      <c r="B263" s="74"/>
      <c r="C263" s="74"/>
      <c r="D263" s="75"/>
      <c r="E263" s="74"/>
      <c r="F263" s="74"/>
    </row>
    <row r="264" customFormat="false" ht="15" hidden="false" customHeight="false" outlineLevel="0" collapsed="false">
      <c r="A264" s="74"/>
      <c r="B264" s="74"/>
      <c r="C264" s="74"/>
      <c r="D264" s="75"/>
      <c r="E264" s="74"/>
      <c r="F264" s="74"/>
    </row>
    <row r="265" customFormat="false" ht="15" hidden="false" customHeight="false" outlineLevel="0" collapsed="false">
      <c r="A265" s="74"/>
      <c r="B265" s="74"/>
      <c r="C265" s="74"/>
      <c r="D265" s="75"/>
      <c r="E265" s="74"/>
      <c r="F265" s="74"/>
    </row>
    <row r="266" customFormat="false" ht="15" hidden="false" customHeight="false" outlineLevel="0" collapsed="false">
      <c r="A266" s="74"/>
      <c r="B266" s="74"/>
      <c r="C266" s="74"/>
      <c r="D266" s="75"/>
      <c r="E266" s="74"/>
      <c r="F266" s="74"/>
    </row>
    <row r="267" customFormat="false" ht="15" hidden="false" customHeight="false" outlineLevel="0" collapsed="false">
      <c r="A267" s="74"/>
      <c r="B267" s="74"/>
      <c r="C267" s="74"/>
      <c r="D267" s="75"/>
      <c r="E267" s="74"/>
      <c r="F267" s="74"/>
    </row>
    <row r="268" customFormat="false" ht="15" hidden="false" customHeight="false" outlineLevel="0" collapsed="false">
      <c r="A268" s="74"/>
      <c r="B268" s="74"/>
      <c r="C268" s="74"/>
      <c r="D268" s="75"/>
      <c r="E268" s="74"/>
      <c r="F268" s="74"/>
    </row>
    <row r="269" customFormat="false" ht="15" hidden="false" customHeight="false" outlineLevel="0" collapsed="false">
      <c r="A269" s="74"/>
      <c r="B269" s="74"/>
      <c r="C269" s="74"/>
      <c r="D269" s="75"/>
      <c r="E269" s="74"/>
      <c r="F269" s="74"/>
    </row>
    <row r="270" customFormat="false" ht="15" hidden="false" customHeight="false" outlineLevel="0" collapsed="false">
      <c r="A270" s="74"/>
      <c r="B270" s="74"/>
      <c r="C270" s="74"/>
      <c r="D270" s="75"/>
      <c r="E270" s="74"/>
      <c r="F270" s="74"/>
    </row>
    <row r="271" customFormat="false" ht="15" hidden="false" customHeight="false" outlineLevel="0" collapsed="false">
      <c r="A271" s="74"/>
      <c r="B271" s="74"/>
      <c r="C271" s="74"/>
      <c r="D271" s="75"/>
      <c r="E271" s="74"/>
      <c r="F271" s="74"/>
    </row>
    <row r="272" customFormat="false" ht="15" hidden="false" customHeight="false" outlineLevel="0" collapsed="false">
      <c r="A272" s="74"/>
      <c r="B272" s="74"/>
      <c r="C272" s="74"/>
      <c r="D272" s="75"/>
      <c r="E272" s="74"/>
      <c r="F272" s="74"/>
    </row>
    <row r="273" customFormat="false" ht="15" hidden="false" customHeight="false" outlineLevel="0" collapsed="false">
      <c r="A273" s="74"/>
      <c r="B273" s="74"/>
      <c r="C273" s="74"/>
      <c r="D273" s="75"/>
      <c r="E273" s="74"/>
      <c r="F273" s="74"/>
    </row>
    <row r="274" customFormat="false" ht="15" hidden="false" customHeight="false" outlineLevel="0" collapsed="false">
      <c r="A274" s="74"/>
      <c r="B274" s="74"/>
      <c r="C274" s="74"/>
      <c r="D274" s="75"/>
      <c r="E274" s="74"/>
      <c r="F274" s="74"/>
    </row>
    <row r="275" customFormat="false" ht="15" hidden="false" customHeight="false" outlineLevel="0" collapsed="false">
      <c r="A275" s="74"/>
      <c r="B275" s="74"/>
      <c r="C275" s="74"/>
      <c r="D275" s="75"/>
      <c r="E275" s="74"/>
      <c r="F275" s="74"/>
    </row>
    <row r="276" customFormat="false" ht="15" hidden="false" customHeight="false" outlineLevel="0" collapsed="false">
      <c r="A276" s="74"/>
      <c r="B276" s="74"/>
      <c r="C276" s="74"/>
      <c r="D276" s="75"/>
      <c r="E276" s="74"/>
      <c r="F276" s="74"/>
    </row>
    <row r="277" customFormat="false" ht="15" hidden="false" customHeight="false" outlineLevel="0" collapsed="false">
      <c r="A277" s="74"/>
      <c r="B277" s="74"/>
      <c r="C277" s="74"/>
      <c r="D277" s="75"/>
      <c r="E277" s="74"/>
      <c r="F277" s="74"/>
    </row>
    <row r="278" customFormat="false" ht="15" hidden="false" customHeight="false" outlineLevel="0" collapsed="false">
      <c r="A278" s="74"/>
      <c r="B278" s="74"/>
      <c r="C278" s="74"/>
      <c r="D278" s="75"/>
      <c r="E278" s="74"/>
      <c r="F278" s="74"/>
    </row>
    <row r="279" customFormat="false" ht="15" hidden="false" customHeight="false" outlineLevel="0" collapsed="false">
      <c r="A279" s="74"/>
      <c r="B279" s="74"/>
      <c r="C279" s="74"/>
      <c r="D279" s="75"/>
      <c r="E279" s="74"/>
      <c r="F279" s="74"/>
    </row>
    <row r="280" customFormat="false" ht="15" hidden="false" customHeight="false" outlineLevel="0" collapsed="false">
      <c r="A280" s="74"/>
      <c r="B280" s="74"/>
      <c r="C280" s="74"/>
      <c r="D280" s="75"/>
      <c r="E280" s="74"/>
      <c r="F280" s="74"/>
    </row>
    <row r="281" customFormat="false" ht="15" hidden="false" customHeight="false" outlineLevel="0" collapsed="false">
      <c r="A281" s="74"/>
      <c r="B281" s="74"/>
      <c r="C281" s="74"/>
      <c r="D281" s="75"/>
      <c r="E281" s="74"/>
      <c r="F281" s="74"/>
    </row>
    <row r="282" customFormat="false" ht="15" hidden="false" customHeight="false" outlineLevel="0" collapsed="false">
      <c r="A282" s="74"/>
      <c r="B282" s="74"/>
      <c r="C282" s="74"/>
      <c r="D282" s="75"/>
      <c r="E282" s="74"/>
      <c r="F282" s="74"/>
    </row>
    <row r="283" customFormat="false" ht="15" hidden="false" customHeight="false" outlineLevel="0" collapsed="false">
      <c r="A283" s="74"/>
      <c r="B283" s="74"/>
      <c r="C283" s="74"/>
      <c r="D283" s="75"/>
      <c r="E283" s="74"/>
      <c r="F283" s="74"/>
    </row>
    <row r="284" customFormat="false" ht="15" hidden="false" customHeight="false" outlineLevel="0" collapsed="false">
      <c r="A284" s="74"/>
      <c r="B284" s="74"/>
      <c r="C284" s="74"/>
      <c r="D284" s="75"/>
      <c r="E284" s="74"/>
      <c r="F284" s="74"/>
    </row>
    <row r="285" customFormat="false" ht="15" hidden="false" customHeight="false" outlineLevel="0" collapsed="false">
      <c r="A285" s="74"/>
      <c r="B285" s="74"/>
      <c r="C285" s="74"/>
      <c r="D285" s="75"/>
      <c r="E285" s="74"/>
      <c r="F285" s="74"/>
    </row>
    <row r="286" customFormat="false" ht="15" hidden="false" customHeight="false" outlineLevel="0" collapsed="false">
      <c r="A286" s="74"/>
      <c r="B286" s="74"/>
      <c r="C286" s="74"/>
      <c r="D286" s="75"/>
      <c r="E286" s="74"/>
      <c r="F286" s="74"/>
    </row>
    <row r="287" customFormat="false" ht="15" hidden="false" customHeight="false" outlineLevel="0" collapsed="false">
      <c r="A287" s="74"/>
      <c r="B287" s="74"/>
      <c r="C287" s="74"/>
      <c r="D287" s="75"/>
      <c r="E287" s="74"/>
      <c r="F287" s="74"/>
    </row>
    <row r="288" customFormat="false" ht="15" hidden="false" customHeight="false" outlineLevel="0" collapsed="false">
      <c r="A288" s="74"/>
      <c r="B288" s="74"/>
      <c r="C288" s="74"/>
      <c r="D288" s="75"/>
      <c r="E288" s="74"/>
      <c r="F288" s="74"/>
    </row>
    <row r="289" customFormat="false" ht="15" hidden="false" customHeight="false" outlineLevel="0" collapsed="false">
      <c r="A289" s="74"/>
      <c r="B289" s="74"/>
      <c r="C289" s="74"/>
      <c r="D289" s="75"/>
      <c r="E289" s="74"/>
      <c r="F289" s="74"/>
    </row>
    <row r="290" customFormat="false" ht="15" hidden="false" customHeight="false" outlineLevel="0" collapsed="false">
      <c r="A290" s="74"/>
      <c r="B290" s="74"/>
      <c r="C290" s="74"/>
      <c r="D290" s="75"/>
      <c r="E290" s="74"/>
      <c r="F290" s="74"/>
    </row>
    <row r="291" customFormat="false" ht="15" hidden="false" customHeight="false" outlineLevel="0" collapsed="false">
      <c r="A291" s="74"/>
      <c r="B291" s="74"/>
      <c r="C291" s="74"/>
      <c r="D291" s="75"/>
      <c r="E291" s="74"/>
      <c r="F291" s="74"/>
    </row>
    <row r="292" customFormat="false" ht="15" hidden="false" customHeight="false" outlineLevel="0" collapsed="false">
      <c r="A292" s="74"/>
      <c r="B292" s="74"/>
      <c r="C292" s="74"/>
      <c r="D292" s="75"/>
      <c r="E292" s="74"/>
      <c r="F292" s="74"/>
    </row>
    <row r="293" customFormat="false" ht="15" hidden="false" customHeight="false" outlineLevel="0" collapsed="false">
      <c r="A293" s="74"/>
      <c r="B293" s="74"/>
      <c r="C293" s="74"/>
      <c r="D293" s="75"/>
      <c r="E293" s="74"/>
      <c r="F293" s="74"/>
    </row>
    <row r="294" customFormat="false" ht="15" hidden="false" customHeight="false" outlineLevel="0" collapsed="false">
      <c r="A294" s="74"/>
      <c r="B294" s="74"/>
      <c r="C294" s="74"/>
      <c r="D294" s="75"/>
      <c r="E294" s="74"/>
      <c r="F294" s="74"/>
    </row>
    <row r="295" customFormat="false" ht="15" hidden="false" customHeight="false" outlineLevel="0" collapsed="false">
      <c r="A295" s="74"/>
      <c r="B295" s="74"/>
      <c r="C295" s="74"/>
      <c r="D295" s="75"/>
      <c r="E295" s="74"/>
      <c r="F295" s="74"/>
    </row>
    <row r="296" customFormat="false" ht="15" hidden="false" customHeight="false" outlineLevel="0" collapsed="false">
      <c r="A296" s="74"/>
      <c r="B296" s="74"/>
      <c r="C296" s="74"/>
      <c r="D296" s="75"/>
      <c r="E296" s="74"/>
      <c r="F296" s="74"/>
    </row>
    <row r="297" customFormat="false" ht="15" hidden="false" customHeight="false" outlineLevel="0" collapsed="false">
      <c r="A297" s="74"/>
      <c r="B297" s="74"/>
      <c r="C297" s="74"/>
      <c r="D297" s="75"/>
      <c r="E297" s="74"/>
      <c r="F297" s="74"/>
    </row>
    <row r="298" customFormat="false" ht="15" hidden="false" customHeight="false" outlineLevel="0" collapsed="false">
      <c r="A298" s="74"/>
      <c r="B298" s="74"/>
      <c r="C298" s="74"/>
      <c r="D298" s="75"/>
      <c r="E298" s="74"/>
      <c r="F298" s="74"/>
    </row>
    <row r="299" customFormat="false" ht="15" hidden="false" customHeight="false" outlineLevel="0" collapsed="false">
      <c r="A299" s="74"/>
      <c r="B299" s="74"/>
      <c r="C299" s="74"/>
      <c r="D299" s="75"/>
      <c r="E299" s="74"/>
      <c r="F299" s="74"/>
    </row>
    <row r="300" customFormat="false" ht="15" hidden="false" customHeight="false" outlineLevel="0" collapsed="false">
      <c r="A300" s="74"/>
      <c r="B300" s="74"/>
      <c r="C300" s="74"/>
      <c r="D300" s="75"/>
      <c r="E300" s="74"/>
      <c r="F300" s="74"/>
    </row>
    <row r="301" customFormat="false" ht="15" hidden="false" customHeight="false" outlineLevel="0" collapsed="false">
      <c r="A301" s="74"/>
      <c r="B301" s="74"/>
      <c r="C301" s="74"/>
      <c r="D301" s="75"/>
      <c r="E301" s="74"/>
      <c r="F301" s="74"/>
    </row>
    <row r="302" customFormat="false" ht="15" hidden="false" customHeight="false" outlineLevel="0" collapsed="false">
      <c r="A302" s="74"/>
      <c r="B302" s="74"/>
      <c r="C302" s="74"/>
      <c r="D302" s="75"/>
      <c r="E302" s="74"/>
      <c r="F302" s="74"/>
    </row>
    <row r="303" customFormat="false" ht="15" hidden="false" customHeight="false" outlineLevel="0" collapsed="false">
      <c r="A303" s="74"/>
      <c r="B303" s="74"/>
      <c r="C303" s="74"/>
      <c r="D303" s="75"/>
      <c r="E303" s="74"/>
      <c r="F303" s="74"/>
    </row>
    <row r="304" customFormat="false" ht="15" hidden="false" customHeight="false" outlineLevel="0" collapsed="false">
      <c r="A304" s="74"/>
      <c r="B304" s="74"/>
      <c r="C304" s="74"/>
      <c r="D304" s="75"/>
      <c r="E304" s="74"/>
      <c r="F304" s="74"/>
    </row>
    <row r="305" customFormat="false" ht="15" hidden="false" customHeight="false" outlineLevel="0" collapsed="false">
      <c r="A305" s="74"/>
      <c r="B305" s="74"/>
      <c r="C305" s="74"/>
      <c r="D305" s="75"/>
      <c r="E305" s="74"/>
      <c r="F305" s="74"/>
    </row>
    <row r="306" customFormat="false" ht="15" hidden="false" customHeight="false" outlineLevel="0" collapsed="false">
      <c r="A306" s="74"/>
      <c r="B306" s="74"/>
      <c r="C306" s="74"/>
      <c r="D306" s="75"/>
      <c r="E306" s="74"/>
      <c r="F306" s="74"/>
    </row>
    <row r="307" customFormat="false" ht="15" hidden="false" customHeight="false" outlineLevel="0" collapsed="false">
      <c r="A307" s="74"/>
      <c r="B307" s="74"/>
      <c r="C307" s="74"/>
      <c r="D307" s="75"/>
      <c r="E307" s="74"/>
      <c r="F307" s="74"/>
    </row>
    <row r="308" customFormat="false" ht="15" hidden="false" customHeight="false" outlineLevel="0" collapsed="false">
      <c r="A308" s="74"/>
      <c r="B308" s="74"/>
      <c r="C308" s="74"/>
      <c r="D308" s="75"/>
      <c r="E308" s="74"/>
      <c r="F308" s="74"/>
    </row>
    <row r="309" customFormat="false" ht="15" hidden="false" customHeight="false" outlineLevel="0" collapsed="false">
      <c r="A309" s="74"/>
      <c r="B309" s="74"/>
      <c r="C309" s="74"/>
      <c r="D309" s="75"/>
      <c r="E309" s="74"/>
      <c r="F309" s="74"/>
    </row>
    <row r="310" customFormat="false" ht="15" hidden="false" customHeight="false" outlineLevel="0" collapsed="false">
      <c r="A310" s="74"/>
      <c r="B310" s="74"/>
      <c r="C310" s="74"/>
      <c r="D310" s="75"/>
      <c r="E310" s="74"/>
      <c r="F310" s="74"/>
    </row>
    <row r="311" customFormat="false" ht="15" hidden="false" customHeight="false" outlineLevel="0" collapsed="false">
      <c r="A311" s="74"/>
      <c r="B311" s="74"/>
      <c r="C311" s="74"/>
      <c r="D311" s="75"/>
      <c r="E311" s="74"/>
      <c r="F311" s="74"/>
    </row>
    <row r="312" customFormat="false" ht="15" hidden="false" customHeight="false" outlineLevel="0" collapsed="false">
      <c r="A312" s="74"/>
      <c r="B312" s="74"/>
      <c r="C312" s="74"/>
      <c r="D312" s="75"/>
      <c r="E312" s="74"/>
      <c r="F312" s="74"/>
    </row>
    <row r="313" customFormat="false" ht="15" hidden="false" customHeight="false" outlineLevel="0" collapsed="false">
      <c r="A313" s="74"/>
      <c r="B313" s="74"/>
      <c r="C313" s="74"/>
      <c r="D313" s="75"/>
      <c r="E313" s="74"/>
      <c r="F313" s="74"/>
    </row>
    <row r="314" customFormat="false" ht="15" hidden="false" customHeight="false" outlineLevel="0" collapsed="false">
      <c r="A314" s="74"/>
      <c r="B314" s="74"/>
      <c r="C314" s="74"/>
      <c r="D314" s="75"/>
      <c r="E314" s="74"/>
      <c r="F314" s="74"/>
    </row>
    <row r="315" customFormat="false" ht="15" hidden="false" customHeight="false" outlineLevel="0" collapsed="false">
      <c r="A315" s="74"/>
      <c r="B315" s="74"/>
      <c r="C315" s="74"/>
      <c r="D315" s="75"/>
      <c r="E315" s="74"/>
      <c r="F315" s="74"/>
    </row>
    <row r="316" customFormat="false" ht="15" hidden="false" customHeight="false" outlineLevel="0" collapsed="false">
      <c r="A316" s="74"/>
      <c r="B316" s="74"/>
      <c r="C316" s="74"/>
      <c r="D316" s="75"/>
      <c r="E316" s="74"/>
      <c r="F316" s="74"/>
    </row>
    <row r="317" customFormat="false" ht="15" hidden="false" customHeight="false" outlineLevel="0" collapsed="false">
      <c r="A317" s="74"/>
      <c r="B317" s="74"/>
      <c r="C317" s="74"/>
      <c r="D317" s="75"/>
      <c r="E317" s="74"/>
      <c r="F317" s="74"/>
    </row>
    <row r="318" customFormat="false" ht="15" hidden="false" customHeight="false" outlineLevel="0" collapsed="false">
      <c r="A318" s="74"/>
      <c r="B318" s="74"/>
      <c r="C318" s="74"/>
      <c r="D318" s="75"/>
      <c r="E318" s="74"/>
      <c r="F318" s="74"/>
    </row>
    <row r="319" customFormat="false" ht="15" hidden="false" customHeight="false" outlineLevel="0" collapsed="false">
      <c r="A319" s="74"/>
      <c r="B319" s="74"/>
      <c r="C319" s="74"/>
      <c r="D319" s="75"/>
      <c r="E319" s="74"/>
      <c r="F319" s="74"/>
    </row>
    <row r="320" customFormat="false" ht="15" hidden="false" customHeight="false" outlineLevel="0" collapsed="false">
      <c r="A320" s="74"/>
      <c r="B320" s="74"/>
      <c r="C320" s="74"/>
      <c r="D320" s="75"/>
      <c r="E320" s="74"/>
      <c r="F320" s="74"/>
    </row>
    <row r="321" customFormat="false" ht="15" hidden="false" customHeight="false" outlineLevel="0" collapsed="false">
      <c r="A321" s="74"/>
      <c r="B321" s="74"/>
      <c r="C321" s="74"/>
      <c r="D321" s="75"/>
      <c r="E321" s="74"/>
      <c r="F321" s="74"/>
    </row>
    <row r="322" customFormat="false" ht="15" hidden="false" customHeight="false" outlineLevel="0" collapsed="false">
      <c r="A322" s="74"/>
      <c r="B322" s="74"/>
      <c r="C322" s="74"/>
      <c r="D322" s="75"/>
      <c r="E322" s="74"/>
      <c r="F322" s="74"/>
    </row>
    <row r="323" customFormat="false" ht="15" hidden="false" customHeight="false" outlineLevel="0" collapsed="false">
      <c r="A323" s="74"/>
      <c r="B323" s="74"/>
      <c r="C323" s="74"/>
      <c r="D323" s="75"/>
      <c r="E323" s="74"/>
      <c r="F323" s="74"/>
    </row>
    <row r="324" customFormat="false" ht="15" hidden="false" customHeight="false" outlineLevel="0" collapsed="false">
      <c r="A324" s="74"/>
      <c r="B324" s="74"/>
      <c r="C324" s="74"/>
      <c r="D324" s="75"/>
      <c r="E324" s="74"/>
      <c r="F324" s="74"/>
    </row>
    <row r="325" customFormat="false" ht="15" hidden="false" customHeight="false" outlineLevel="0" collapsed="false">
      <c r="A325" s="74"/>
      <c r="B325" s="74"/>
      <c r="C325" s="74"/>
      <c r="D325" s="75"/>
      <c r="E325" s="74"/>
      <c r="F325" s="74"/>
    </row>
    <row r="326" customFormat="false" ht="15" hidden="false" customHeight="false" outlineLevel="0" collapsed="false">
      <c r="A326" s="74"/>
      <c r="B326" s="74"/>
      <c r="C326" s="74"/>
      <c r="D326" s="75"/>
      <c r="E326" s="74"/>
      <c r="F326" s="74"/>
    </row>
    <row r="327" customFormat="false" ht="15" hidden="false" customHeight="false" outlineLevel="0" collapsed="false">
      <c r="A327" s="74"/>
      <c r="B327" s="74"/>
      <c r="C327" s="74"/>
      <c r="D327" s="75"/>
      <c r="E327" s="74"/>
      <c r="F327" s="74"/>
    </row>
    <row r="328" customFormat="false" ht="15" hidden="false" customHeight="false" outlineLevel="0" collapsed="false">
      <c r="A328" s="74"/>
      <c r="B328" s="74"/>
      <c r="C328" s="74"/>
      <c r="D328" s="75"/>
      <c r="E328" s="74"/>
      <c r="F328" s="74"/>
    </row>
    <row r="329" customFormat="false" ht="15" hidden="false" customHeight="false" outlineLevel="0" collapsed="false">
      <c r="A329" s="74"/>
      <c r="B329" s="74"/>
      <c r="C329" s="74"/>
      <c r="D329" s="75"/>
      <c r="E329" s="74"/>
      <c r="F329" s="74"/>
    </row>
    <row r="330" customFormat="false" ht="15" hidden="false" customHeight="false" outlineLevel="0" collapsed="false">
      <c r="A330" s="74"/>
      <c r="B330" s="74"/>
      <c r="C330" s="74"/>
      <c r="D330" s="75"/>
      <c r="E330" s="74"/>
      <c r="F330" s="74"/>
    </row>
    <row r="331" customFormat="false" ht="15" hidden="false" customHeight="false" outlineLevel="0" collapsed="false">
      <c r="A331" s="74"/>
      <c r="B331" s="74"/>
      <c r="C331" s="74"/>
      <c r="D331" s="75"/>
      <c r="E331" s="74"/>
      <c r="F331" s="74"/>
    </row>
    <row r="332" customFormat="false" ht="15" hidden="false" customHeight="false" outlineLevel="0" collapsed="false">
      <c r="A332" s="74"/>
      <c r="B332" s="74"/>
      <c r="C332" s="74"/>
      <c r="D332" s="75"/>
      <c r="E332" s="74"/>
      <c r="F332" s="74"/>
    </row>
    <row r="333" customFormat="false" ht="15" hidden="false" customHeight="false" outlineLevel="0" collapsed="false">
      <c r="A333" s="74"/>
      <c r="B333" s="74"/>
      <c r="C333" s="74"/>
      <c r="D333" s="75"/>
      <c r="E333" s="74"/>
      <c r="F333" s="74"/>
    </row>
    <row r="334" customFormat="false" ht="15" hidden="false" customHeight="false" outlineLevel="0" collapsed="false">
      <c r="A334" s="74"/>
      <c r="B334" s="74"/>
      <c r="C334" s="74"/>
      <c r="D334" s="75"/>
      <c r="E334" s="74"/>
      <c r="F334" s="74"/>
    </row>
    <row r="335" customFormat="false" ht="15" hidden="false" customHeight="false" outlineLevel="0" collapsed="false">
      <c r="A335" s="74"/>
      <c r="B335" s="74"/>
      <c r="C335" s="74"/>
      <c r="D335" s="75"/>
      <c r="E335" s="74"/>
      <c r="F335" s="74"/>
    </row>
    <row r="336" customFormat="false" ht="15" hidden="false" customHeight="false" outlineLevel="0" collapsed="false">
      <c r="A336" s="74"/>
      <c r="B336" s="74"/>
      <c r="C336" s="74"/>
      <c r="D336" s="75"/>
      <c r="E336" s="74"/>
      <c r="F336" s="74"/>
    </row>
    <row r="337" customFormat="false" ht="15" hidden="false" customHeight="false" outlineLevel="0" collapsed="false">
      <c r="A337" s="74"/>
      <c r="B337" s="74"/>
      <c r="C337" s="74"/>
      <c r="D337" s="75"/>
      <c r="E337" s="74"/>
      <c r="F337" s="74"/>
    </row>
    <row r="338" customFormat="false" ht="15" hidden="false" customHeight="false" outlineLevel="0" collapsed="false">
      <c r="A338" s="74"/>
      <c r="B338" s="74"/>
      <c r="C338" s="74"/>
      <c r="D338" s="75"/>
      <c r="E338" s="74"/>
      <c r="F338" s="74"/>
    </row>
    <row r="339" customFormat="false" ht="15" hidden="false" customHeight="false" outlineLevel="0" collapsed="false">
      <c r="A339" s="74"/>
      <c r="B339" s="74"/>
      <c r="C339" s="74"/>
      <c r="D339" s="75"/>
      <c r="E339" s="74"/>
      <c r="F339" s="74"/>
    </row>
    <row r="340" customFormat="false" ht="15" hidden="false" customHeight="false" outlineLevel="0" collapsed="false">
      <c r="A340" s="74"/>
      <c r="B340" s="74"/>
      <c r="C340" s="74"/>
      <c r="D340" s="75"/>
      <c r="E340" s="74"/>
      <c r="F340" s="74"/>
    </row>
    <row r="341" customFormat="false" ht="15" hidden="false" customHeight="false" outlineLevel="0" collapsed="false">
      <c r="A341" s="74"/>
      <c r="B341" s="74"/>
      <c r="C341" s="74"/>
      <c r="D341" s="75"/>
      <c r="E341" s="74"/>
      <c r="F341" s="74"/>
    </row>
    <row r="342" customFormat="false" ht="15" hidden="false" customHeight="false" outlineLevel="0" collapsed="false">
      <c r="A342" s="74"/>
      <c r="B342" s="74"/>
      <c r="C342" s="74"/>
      <c r="D342" s="75"/>
      <c r="E342" s="74"/>
      <c r="F342" s="74"/>
    </row>
    <row r="343" customFormat="false" ht="15" hidden="false" customHeight="false" outlineLevel="0" collapsed="false">
      <c r="A343" s="74"/>
      <c r="B343" s="74"/>
      <c r="C343" s="74"/>
      <c r="D343" s="75"/>
      <c r="E343" s="74"/>
      <c r="F343" s="74"/>
    </row>
    <row r="344" customFormat="false" ht="15" hidden="false" customHeight="false" outlineLevel="0" collapsed="false">
      <c r="A344" s="74"/>
      <c r="B344" s="74"/>
      <c r="C344" s="74"/>
      <c r="D344" s="75"/>
      <c r="E344" s="74"/>
      <c r="F344" s="74"/>
    </row>
    <row r="345" customFormat="false" ht="15" hidden="false" customHeight="false" outlineLevel="0" collapsed="false">
      <c r="A345" s="74"/>
      <c r="B345" s="74"/>
      <c r="C345" s="74"/>
      <c r="D345" s="75"/>
      <c r="E345" s="74"/>
      <c r="F345" s="74"/>
    </row>
    <row r="346" customFormat="false" ht="15" hidden="false" customHeight="false" outlineLevel="0" collapsed="false">
      <c r="A346" s="74"/>
      <c r="B346" s="74"/>
      <c r="C346" s="74"/>
      <c r="D346" s="75"/>
      <c r="E346" s="74"/>
      <c r="F346" s="74"/>
    </row>
    <row r="347" customFormat="false" ht="15" hidden="false" customHeight="false" outlineLevel="0" collapsed="false">
      <c r="A347" s="74"/>
      <c r="B347" s="74"/>
      <c r="C347" s="74"/>
      <c r="D347" s="75"/>
      <c r="E347" s="74"/>
      <c r="F347" s="74"/>
    </row>
    <row r="348" customFormat="false" ht="15" hidden="false" customHeight="false" outlineLevel="0" collapsed="false">
      <c r="A348" s="74"/>
      <c r="B348" s="74"/>
      <c r="C348" s="74"/>
      <c r="D348" s="75"/>
      <c r="E348" s="74"/>
      <c r="F348" s="74"/>
    </row>
    <row r="349" customFormat="false" ht="15" hidden="false" customHeight="false" outlineLevel="0" collapsed="false">
      <c r="A349" s="74"/>
      <c r="B349" s="74"/>
      <c r="C349" s="74"/>
      <c r="D349" s="75"/>
      <c r="E349" s="74"/>
      <c r="F349" s="74"/>
    </row>
    <row r="350" customFormat="false" ht="15" hidden="false" customHeight="false" outlineLevel="0" collapsed="false">
      <c r="A350" s="74"/>
      <c r="B350" s="74"/>
      <c r="C350" s="74"/>
      <c r="D350" s="75"/>
      <c r="E350" s="74"/>
      <c r="F350" s="74"/>
    </row>
    <row r="351" customFormat="false" ht="15" hidden="false" customHeight="false" outlineLevel="0" collapsed="false">
      <c r="A351" s="74"/>
      <c r="B351" s="74"/>
      <c r="C351" s="74"/>
      <c r="D351" s="75"/>
      <c r="E351" s="74"/>
      <c r="F351" s="74"/>
    </row>
    <row r="352" customFormat="false" ht="15" hidden="false" customHeight="false" outlineLevel="0" collapsed="false">
      <c r="A352" s="74"/>
      <c r="B352" s="74"/>
      <c r="C352" s="74"/>
      <c r="D352" s="75"/>
      <c r="E352" s="74"/>
      <c r="F352" s="74"/>
    </row>
    <row r="353" customFormat="false" ht="15" hidden="false" customHeight="false" outlineLevel="0" collapsed="false">
      <c r="A353" s="74"/>
      <c r="B353" s="74"/>
      <c r="C353" s="74"/>
      <c r="D353" s="75"/>
      <c r="E353" s="74"/>
      <c r="F353" s="74"/>
    </row>
    <row r="354" customFormat="false" ht="15" hidden="false" customHeight="false" outlineLevel="0" collapsed="false">
      <c r="A354" s="74"/>
      <c r="B354" s="74"/>
      <c r="C354" s="74"/>
      <c r="D354" s="75"/>
      <c r="E354" s="74"/>
      <c r="F354" s="74"/>
    </row>
    <row r="355" customFormat="false" ht="15" hidden="false" customHeight="false" outlineLevel="0" collapsed="false">
      <c r="A355" s="74"/>
      <c r="B355" s="74"/>
      <c r="C355" s="74"/>
      <c r="D355" s="75"/>
      <c r="E355" s="74"/>
      <c r="F355" s="74"/>
    </row>
    <row r="356" customFormat="false" ht="15" hidden="false" customHeight="false" outlineLevel="0" collapsed="false">
      <c r="A356" s="74"/>
      <c r="B356" s="74"/>
      <c r="C356" s="74"/>
      <c r="D356" s="75"/>
      <c r="E356" s="74"/>
      <c r="F356" s="74"/>
    </row>
    <row r="357" customFormat="false" ht="15" hidden="false" customHeight="false" outlineLevel="0" collapsed="false">
      <c r="A357" s="74"/>
      <c r="B357" s="74"/>
      <c r="C357" s="74"/>
      <c r="D357" s="75"/>
      <c r="E357" s="74"/>
      <c r="F357" s="74"/>
    </row>
    <row r="358" customFormat="false" ht="15" hidden="false" customHeight="false" outlineLevel="0" collapsed="false">
      <c r="A358" s="74"/>
      <c r="B358" s="74"/>
      <c r="C358" s="74"/>
      <c r="D358" s="75"/>
      <c r="E358" s="74"/>
      <c r="F358" s="74"/>
    </row>
    <row r="359" customFormat="false" ht="15" hidden="false" customHeight="false" outlineLevel="0" collapsed="false">
      <c r="A359" s="74"/>
      <c r="B359" s="74"/>
      <c r="C359" s="74"/>
      <c r="D359" s="75"/>
      <c r="E359" s="74"/>
      <c r="F359" s="74"/>
    </row>
    <row r="360" customFormat="false" ht="15" hidden="false" customHeight="false" outlineLevel="0" collapsed="false">
      <c r="A360" s="74"/>
      <c r="B360" s="74"/>
      <c r="C360" s="74"/>
      <c r="D360" s="75"/>
      <c r="E360" s="74"/>
      <c r="F360" s="74"/>
    </row>
    <row r="361" customFormat="false" ht="15" hidden="false" customHeight="false" outlineLevel="0" collapsed="false">
      <c r="A361" s="74"/>
      <c r="B361" s="74"/>
      <c r="C361" s="74"/>
      <c r="D361" s="75"/>
      <c r="E361" s="74"/>
      <c r="F361" s="74"/>
    </row>
    <row r="362" customFormat="false" ht="15" hidden="false" customHeight="false" outlineLevel="0" collapsed="false">
      <c r="A362" s="74"/>
      <c r="B362" s="74"/>
      <c r="C362" s="74"/>
      <c r="D362" s="75"/>
      <c r="E362" s="74"/>
      <c r="F362" s="74"/>
    </row>
    <row r="363" customFormat="false" ht="15" hidden="false" customHeight="false" outlineLevel="0" collapsed="false">
      <c r="A363" s="74"/>
      <c r="B363" s="74"/>
      <c r="C363" s="74"/>
      <c r="D363" s="75"/>
      <c r="E363" s="74"/>
      <c r="F363" s="74"/>
    </row>
    <row r="364" customFormat="false" ht="15" hidden="false" customHeight="false" outlineLevel="0" collapsed="false">
      <c r="A364" s="74"/>
      <c r="B364" s="74"/>
      <c r="C364" s="74"/>
      <c r="D364" s="75"/>
      <c r="E364" s="74"/>
      <c r="F364" s="74"/>
    </row>
    <row r="365" customFormat="false" ht="15" hidden="false" customHeight="false" outlineLevel="0" collapsed="false">
      <c r="A365" s="74"/>
      <c r="B365" s="74"/>
      <c r="C365" s="74"/>
      <c r="D365" s="75"/>
      <c r="E365" s="74"/>
      <c r="F365" s="74"/>
    </row>
    <row r="366" customFormat="false" ht="15" hidden="false" customHeight="false" outlineLevel="0" collapsed="false">
      <c r="A366" s="74"/>
      <c r="B366" s="74"/>
      <c r="C366" s="74"/>
      <c r="D366" s="75"/>
      <c r="E366" s="74"/>
      <c r="F366" s="74"/>
    </row>
    <row r="367" customFormat="false" ht="15" hidden="false" customHeight="false" outlineLevel="0" collapsed="false">
      <c r="A367" s="74"/>
      <c r="B367" s="74"/>
      <c r="C367" s="74"/>
      <c r="D367" s="75"/>
      <c r="E367" s="74"/>
      <c r="F367" s="74"/>
    </row>
    <row r="368" customFormat="false" ht="15" hidden="false" customHeight="false" outlineLevel="0" collapsed="false">
      <c r="A368" s="74"/>
      <c r="B368" s="74"/>
      <c r="C368" s="74"/>
      <c r="D368" s="75"/>
      <c r="E368" s="74"/>
      <c r="F368" s="74"/>
    </row>
    <row r="369" customFormat="false" ht="15" hidden="false" customHeight="false" outlineLevel="0" collapsed="false">
      <c r="A369" s="74"/>
      <c r="B369" s="74"/>
      <c r="C369" s="74"/>
      <c r="D369" s="75"/>
      <c r="E369" s="74"/>
      <c r="F369" s="74"/>
    </row>
    <row r="370" customFormat="false" ht="15" hidden="false" customHeight="false" outlineLevel="0" collapsed="false">
      <c r="A370" s="74"/>
      <c r="B370" s="74"/>
      <c r="C370" s="74"/>
      <c r="D370" s="75"/>
      <c r="E370" s="74"/>
      <c r="F370" s="74"/>
    </row>
    <row r="371" customFormat="false" ht="15" hidden="false" customHeight="false" outlineLevel="0" collapsed="false">
      <c r="A371" s="74"/>
      <c r="B371" s="74"/>
      <c r="C371" s="74"/>
      <c r="D371" s="75"/>
      <c r="E371" s="74"/>
      <c r="F371" s="74"/>
    </row>
    <row r="372" customFormat="false" ht="15" hidden="false" customHeight="false" outlineLevel="0" collapsed="false">
      <c r="A372" s="74"/>
      <c r="B372" s="74"/>
      <c r="C372" s="74"/>
      <c r="D372" s="75"/>
      <c r="E372" s="74"/>
      <c r="F372" s="74"/>
    </row>
    <row r="373" customFormat="false" ht="15" hidden="false" customHeight="false" outlineLevel="0" collapsed="false">
      <c r="A373" s="74"/>
      <c r="B373" s="74"/>
      <c r="C373" s="74"/>
      <c r="D373" s="75"/>
      <c r="E373" s="74"/>
      <c r="F373" s="74"/>
    </row>
    <row r="374" customFormat="false" ht="15" hidden="false" customHeight="false" outlineLevel="0" collapsed="false">
      <c r="A374" s="74"/>
      <c r="B374" s="74"/>
      <c r="C374" s="74"/>
      <c r="D374" s="75"/>
      <c r="E374" s="74"/>
      <c r="F374" s="74"/>
    </row>
    <row r="375" customFormat="false" ht="15" hidden="false" customHeight="false" outlineLevel="0" collapsed="false">
      <c r="A375" s="74"/>
      <c r="B375" s="74"/>
      <c r="C375" s="74"/>
      <c r="D375" s="75"/>
      <c r="E375" s="74"/>
      <c r="F375" s="74"/>
    </row>
    <row r="376" customFormat="false" ht="15" hidden="false" customHeight="false" outlineLevel="0" collapsed="false">
      <c r="A376" s="74"/>
      <c r="B376" s="74"/>
      <c r="C376" s="74"/>
      <c r="D376" s="75"/>
      <c r="E376" s="74"/>
      <c r="F376" s="74"/>
    </row>
    <row r="377" customFormat="false" ht="15" hidden="false" customHeight="false" outlineLevel="0" collapsed="false">
      <c r="A377" s="74"/>
      <c r="B377" s="74"/>
      <c r="C377" s="74"/>
      <c r="D377" s="75"/>
      <c r="E377" s="74"/>
      <c r="F377" s="74"/>
    </row>
    <row r="378" customFormat="false" ht="15" hidden="false" customHeight="false" outlineLevel="0" collapsed="false">
      <c r="A378" s="74"/>
      <c r="B378" s="74"/>
      <c r="C378" s="74"/>
      <c r="D378" s="75"/>
      <c r="E378" s="74"/>
      <c r="F378" s="74"/>
    </row>
    <row r="379" customFormat="false" ht="15" hidden="false" customHeight="false" outlineLevel="0" collapsed="false">
      <c r="A379" s="74"/>
      <c r="B379" s="74"/>
      <c r="C379" s="74"/>
      <c r="D379" s="75"/>
      <c r="E379" s="74"/>
      <c r="F379" s="74"/>
    </row>
    <row r="380" customFormat="false" ht="15" hidden="false" customHeight="false" outlineLevel="0" collapsed="false">
      <c r="A380" s="74"/>
      <c r="B380" s="74"/>
      <c r="C380" s="74"/>
      <c r="D380" s="75"/>
      <c r="E380" s="74"/>
      <c r="F380" s="74"/>
    </row>
    <row r="381" customFormat="false" ht="15" hidden="false" customHeight="false" outlineLevel="0" collapsed="false">
      <c r="A381" s="74"/>
      <c r="B381" s="74"/>
      <c r="C381" s="74"/>
      <c r="D381" s="75"/>
      <c r="E381" s="74"/>
      <c r="F381" s="74"/>
    </row>
    <row r="382" customFormat="false" ht="15" hidden="false" customHeight="false" outlineLevel="0" collapsed="false">
      <c r="A382" s="74"/>
      <c r="B382" s="74"/>
      <c r="C382" s="74"/>
      <c r="D382" s="75"/>
      <c r="E382" s="74"/>
      <c r="F382" s="74"/>
    </row>
    <row r="383" customFormat="false" ht="15" hidden="false" customHeight="false" outlineLevel="0" collapsed="false">
      <c r="A383" s="74"/>
      <c r="B383" s="74"/>
      <c r="C383" s="74"/>
      <c r="D383" s="75"/>
      <c r="E383" s="74"/>
      <c r="F383" s="74"/>
    </row>
    <row r="384" customFormat="false" ht="15" hidden="false" customHeight="false" outlineLevel="0" collapsed="false">
      <c r="A384" s="74"/>
      <c r="B384" s="74"/>
      <c r="C384" s="74"/>
      <c r="D384" s="75"/>
      <c r="E384" s="74"/>
      <c r="F384" s="74"/>
    </row>
    <row r="385" customFormat="false" ht="15" hidden="false" customHeight="false" outlineLevel="0" collapsed="false">
      <c r="A385" s="74"/>
      <c r="B385" s="74"/>
      <c r="C385" s="74"/>
      <c r="D385" s="75"/>
      <c r="E385" s="74"/>
      <c r="F385" s="74"/>
    </row>
    <row r="386" customFormat="false" ht="15" hidden="false" customHeight="false" outlineLevel="0" collapsed="false">
      <c r="A386" s="74"/>
      <c r="B386" s="74"/>
      <c r="C386" s="74"/>
      <c r="D386" s="75"/>
      <c r="E386" s="74"/>
      <c r="F386" s="74"/>
    </row>
    <row r="387" customFormat="false" ht="15" hidden="false" customHeight="false" outlineLevel="0" collapsed="false">
      <c r="A387" s="74"/>
      <c r="B387" s="74"/>
      <c r="C387" s="74"/>
      <c r="D387" s="75"/>
      <c r="E387" s="74"/>
      <c r="F387" s="74"/>
    </row>
    <row r="388" customFormat="false" ht="15" hidden="false" customHeight="false" outlineLevel="0" collapsed="false">
      <c r="A388" s="74"/>
      <c r="B388" s="74"/>
      <c r="C388" s="74"/>
      <c r="D388" s="75"/>
      <c r="E388" s="74"/>
      <c r="F388" s="74"/>
    </row>
    <row r="389" customFormat="false" ht="15" hidden="false" customHeight="false" outlineLevel="0" collapsed="false">
      <c r="A389" s="74"/>
      <c r="B389" s="74"/>
      <c r="C389" s="74"/>
      <c r="D389" s="75"/>
      <c r="E389" s="74"/>
      <c r="F389" s="74"/>
    </row>
    <row r="390" customFormat="false" ht="15" hidden="false" customHeight="false" outlineLevel="0" collapsed="false">
      <c r="A390" s="74"/>
      <c r="B390" s="74"/>
      <c r="C390" s="74"/>
      <c r="D390" s="75"/>
      <c r="E390" s="74"/>
      <c r="F390" s="74"/>
    </row>
    <row r="391" customFormat="false" ht="15" hidden="false" customHeight="false" outlineLevel="0" collapsed="false">
      <c r="A391" s="74"/>
      <c r="B391" s="74"/>
      <c r="C391" s="74"/>
      <c r="D391" s="75"/>
      <c r="E391" s="74"/>
      <c r="F391" s="74"/>
    </row>
    <row r="392" customFormat="false" ht="15" hidden="false" customHeight="false" outlineLevel="0" collapsed="false">
      <c r="A392" s="74"/>
      <c r="B392" s="74"/>
      <c r="C392" s="74"/>
      <c r="D392" s="75"/>
      <c r="E392" s="74"/>
      <c r="F392" s="74"/>
    </row>
    <row r="393" customFormat="false" ht="15" hidden="false" customHeight="false" outlineLevel="0" collapsed="false">
      <c r="A393" s="74"/>
      <c r="B393" s="74"/>
      <c r="C393" s="74"/>
      <c r="D393" s="75"/>
      <c r="E393" s="74"/>
      <c r="F393" s="74"/>
    </row>
    <row r="394" customFormat="false" ht="15" hidden="false" customHeight="false" outlineLevel="0" collapsed="false">
      <c r="A394" s="74"/>
      <c r="B394" s="74"/>
      <c r="C394" s="74"/>
      <c r="D394" s="75"/>
      <c r="E394" s="74"/>
      <c r="F394" s="74"/>
    </row>
    <row r="395" customFormat="false" ht="15" hidden="false" customHeight="false" outlineLevel="0" collapsed="false">
      <c r="A395" s="74"/>
      <c r="B395" s="74"/>
      <c r="C395" s="74"/>
      <c r="D395" s="75"/>
      <c r="E395" s="74"/>
      <c r="F395" s="74"/>
    </row>
    <row r="396" customFormat="false" ht="15" hidden="false" customHeight="false" outlineLevel="0" collapsed="false">
      <c r="A396" s="74"/>
      <c r="B396" s="74"/>
      <c r="C396" s="74"/>
      <c r="D396" s="75"/>
      <c r="E396" s="74"/>
      <c r="F396" s="74"/>
    </row>
    <row r="397" customFormat="false" ht="15" hidden="false" customHeight="false" outlineLevel="0" collapsed="false">
      <c r="A397" s="74"/>
      <c r="B397" s="74"/>
      <c r="C397" s="74"/>
      <c r="D397" s="75"/>
      <c r="E397" s="74"/>
      <c r="F397" s="74"/>
    </row>
    <row r="398" customFormat="false" ht="15" hidden="false" customHeight="false" outlineLevel="0" collapsed="false">
      <c r="A398" s="74"/>
      <c r="B398" s="74"/>
      <c r="C398" s="74"/>
      <c r="D398" s="75"/>
      <c r="E398" s="74"/>
      <c r="F398" s="74"/>
    </row>
    <row r="399" customFormat="false" ht="15" hidden="false" customHeight="false" outlineLevel="0" collapsed="false">
      <c r="A399" s="74"/>
      <c r="B399" s="74"/>
      <c r="C399" s="74"/>
      <c r="D399" s="75"/>
      <c r="E399" s="74"/>
      <c r="F399" s="74"/>
    </row>
    <row r="400" customFormat="false" ht="15" hidden="false" customHeight="false" outlineLevel="0" collapsed="false">
      <c r="A400" s="74"/>
      <c r="B400" s="74"/>
      <c r="C400" s="74"/>
      <c r="D400" s="75"/>
      <c r="E400" s="74"/>
      <c r="F400" s="74"/>
    </row>
    <row r="401" customFormat="false" ht="15" hidden="false" customHeight="false" outlineLevel="0" collapsed="false">
      <c r="A401" s="74"/>
      <c r="B401" s="74"/>
      <c r="C401" s="74"/>
      <c r="D401" s="75"/>
      <c r="E401" s="74"/>
      <c r="F401" s="74"/>
    </row>
    <row r="402" customFormat="false" ht="15" hidden="false" customHeight="false" outlineLevel="0" collapsed="false">
      <c r="A402" s="74"/>
      <c r="B402" s="74"/>
      <c r="C402" s="74"/>
      <c r="D402" s="75"/>
      <c r="E402" s="74"/>
      <c r="F402" s="74"/>
    </row>
    <row r="403" customFormat="false" ht="15" hidden="false" customHeight="false" outlineLevel="0" collapsed="false">
      <c r="A403" s="74"/>
      <c r="B403" s="74"/>
      <c r="C403" s="74"/>
      <c r="D403" s="75"/>
      <c r="E403" s="74"/>
      <c r="F403" s="74"/>
    </row>
    <row r="404" customFormat="false" ht="15" hidden="false" customHeight="false" outlineLevel="0" collapsed="false">
      <c r="A404" s="74"/>
      <c r="B404" s="74"/>
      <c r="C404" s="74"/>
      <c r="D404" s="75"/>
      <c r="E404" s="74"/>
      <c r="F404" s="74"/>
    </row>
    <row r="405" customFormat="false" ht="15" hidden="false" customHeight="false" outlineLevel="0" collapsed="false">
      <c r="A405" s="74"/>
      <c r="B405" s="74"/>
      <c r="C405" s="74"/>
      <c r="D405" s="75"/>
      <c r="E405" s="74"/>
      <c r="F405" s="74"/>
    </row>
    <row r="406" customFormat="false" ht="15" hidden="false" customHeight="false" outlineLevel="0" collapsed="false">
      <c r="A406" s="74"/>
      <c r="B406" s="74"/>
      <c r="C406" s="74"/>
      <c r="D406" s="75"/>
      <c r="E406" s="74"/>
      <c r="F406" s="74"/>
    </row>
    <row r="407" customFormat="false" ht="15" hidden="false" customHeight="false" outlineLevel="0" collapsed="false">
      <c r="A407" s="74"/>
      <c r="B407" s="74"/>
      <c r="C407" s="74"/>
      <c r="D407" s="75"/>
      <c r="E407" s="74"/>
      <c r="F407" s="74"/>
    </row>
    <row r="408" customFormat="false" ht="15" hidden="false" customHeight="false" outlineLevel="0" collapsed="false">
      <c r="A408" s="74"/>
      <c r="B408" s="74"/>
      <c r="C408" s="74"/>
      <c r="D408" s="75"/>
      <c r="E408" s="74"/>
      <c r="F408" s="74"/>
    </row>
    <row r="409" customFormat="false" ht="15" hidden="false" customHeight="false" outlineLevel="0" collapsed="false">
      <c r="A409" s="74"/>
      <c r="B409" s="74"/>
      <c r="C409" s="74"/>
      <c r="D409" s="75"/>
      <c r="E409" s="74"/>
      <c r="F409" s="74"/>
    </row>
    <row r="410" customFormat="false" ht="15" hidden="false" customHeight="false" outlineLevel="0" collapsed="false">
      <c r="A410" s="74"/>
      <c r="B410" s="74"/>
      <c r="C410" s="74"/>
      <c r="D410" s="75"/>
      <c r="E410" s="74"/>
      <c r="F410" s="74"/>
    </row>
    <row r="411" customFormat="false" ht="15" hidden="false" customHeight="false" outlineLevel="0" collapsed="false">
      <c r="A411" s="74"/>
      <c r="B411" s="74"/>
      <c r="C411" s="74"/>
      <c r="D411" s="75"/>
      <c r="E411" s="74"/>
      <c r="F411" s="74"/>
    </row>
    <row r="412" customFormat="false" ht="15" hidden="false" customHeight="false" outlineLevel="0" collapsed="false">
      <c r="A412" s="74"/>
      <c r="B412" s="74"/>
      <c r="C412" s="74"/>
      <c r="D412" s="75"/>
      <c r="E412" s="74"/>
      <c r="F412" s="74"/>
    </row>
    <row r="413" customFormat="false" ht="15" hidden="false" customHeight="false" outlineLevel="0" collapsed="false">
      <c r="A413" s="74"/>
      <c r="B413" s="74"/>
      <c r="C413" s="74"/>
      <c r="D413" s="75"/>
      <c r="E413" s="74"/>
      <c r="F413" s="74"/>
    </row>
    <row r="414" customFormat="false" ht="15" hidden="false" customHeight="false" outlineLevel="0" collapsed="false">
      <c r="A414" s="74"/>
      <c r="B414" s="74"/>
      <c r="C414" s="74"/>
      <c r="D414" s="75"/>
      <c r="E414" s="74"/>
      <c r="F414" s="74"/>
    </row>
    <row r="415" customFormat="false" ht="15" hidden="false" customHeight="false" outlineLevel="0" collapsed="false">
      <c r="A415" s="74"/>
      <c r="B415" s="74"/>
      <c r="C415" s="74"/>
      <c r="D415" s="75"/>
      <c r="E415" s="74"/>
      <c r="F415" s="74"/>
    </row>
    <row r="416" customFormat="false" ht="15" hidden="false" customHeight="false" outlineLevel="0" collapsed="false">
      <c r="A416" s="74"/>
      <c r="B416" s="74"/>
      <c r="C416" s="74"/>
      <c r="D416" s="75"/>
      <c r="E416" s="74"/>
      <c r="F416" s="74"/>
    </row>
    <row r="417" customFormat="false" ht="15" hidden="false" customHeight="false" outlineLevel="0" collapsed="false">
      <c r="A417" s="74"/>
      <c r="B417" s="74"/>
      <c r="C417" s="74"/>
      <c r="D417" s="75"/>
      <c r="E417" s="74"/>
      <c r="F417" s="74"/>
    </row>
    <row r="418" customFormat="false" ht="15" hidden="false" customHeight="false" outlineLevel="0" collapsed="false">
      <c r="A418" s="74"/>
      <c r="B418" s="74"/>
      <c r="C418" s="74"/>
      <c r="D418" s="75"/>
      <c r="E418" s="74"/>
      <c r="F418" s="74"/>
    </row>
    <row r="419" customFormat="false" ht="15" hidden="false" customHeight="false" outlineLevel="0" collapsed="false">
      <c r="A419" s="74"/>
      <c r="B419" s="74"/>
      <c r="C419" s="74"/>
      <c r="D419" s="75"/>
      <c r="E419" s="74"/>
      <c r="F419" s="74"/>
    </row>
    <row r="420" customFormat="false" ht="15" hidden="false" customHeight="false" outlineLevel="0" collapsed="false">
      <c r="A420" s="74"/>
      <c r="B420" s="74"/>
      <c r="C420" s="74"/>
      <c r="D420" s="75"/>
      <c r="E420" s="74"/>
      <c r="F420" s="74"/>
    </row>
    <row r="421" customFormat="false" ht="15" hidden="false" customHeight="false" outlineLevel="0" collapsed="false">
      <c r="A421" s="74"/>
      <c r="B421" s="74"/>
      <c r="C421" s="74"/>
      <c r="D421" s="75"/>
      <c r="E421" s="74"/>
      <c r="F421" s="74"/>
    </row>
    <row r="422" customFormat="false" ht="15" hidden="false" customHeight="false" outlineLevel="0" collapsed="false">
      <c r="A422" s="74"/>
      <c r="B422" s="74"/>
      <c r="C422" s="74"/>
      <c r="D422" s="75"/>
      <c r="E422" s="74"/>
      <c r="F422" s="74"/>
    </row>
    <row r="423" customFormat="false" ht="15" hidden="false" customHeight="false" outlineLevel="0" collapsed="false">
      <c r="A423" s="74"/>
      <c r="B423" s="74"/>
      <c r="C423" s="74"/>
      <c r="D423" s="75"/>
      <c r="E423" s="74"/>
      <c r="F423" s="74"/>
    </row>
    <row r="424" customFormat="false" ht="15" hidden="false" customHeight="false" outlineLevel="0" collapsed="false">
      <c r="A424" s="74"/>
      <c r="B424" s="74"/>
      <c r="C424" s="74"/>
      <c r="D424" s="75"/>
      <c r="E424" s="74"/>
      <c r="F424" s="74"/>
    </row>
    <row r="425" customFormat="false" ht="15" hidden="false" customHeight="false" outlineLevel="0" collapsed="false">
      <c r="A425" s="74"/>
      <c r="B425" s="74"/>
      <c r="C425" s="74"/>
      <c r="D425" s="75"/>
      <c r="E425" s="74"/>
      <c r="F425" s="74"/>
    </row>
    <row r="426" customFormat="false" ht="15" hidden="false" customHeight="false" outlineLevel="0" collapsed="false">
      <c r="A426" s="74"/>
      <c r="B426" s="74"/>
      <c r="C426" s="74"/>
      <c r="D426" s="75"/>
      <c r="E426" s="74"/>
      <c r="F426" s="74"/>
    </row>
    <row r="427" customFormat="false" ht="15" hidden="false" customHeight="false" outlineLevel="0" collapsed="false">
      <c r="A427" s="74"/>
      <c r="B427" s="74"/>
      <c r="C427" s="74"/>
      <c r="D427" s="75"/>
      <c r="E427" s="74"/>
      <c r="F427" s="74"/>
    </row>
    <row r="428" customFormat="false" ht="15" hidden="false" customHeight="false" outlineLevel="0" collapsed="false">
      <c r="A428" s="74"/>
      <c r="B428" s="74"/>
      <c r="C428" s="74"/>
      <c r="D428" s="75"/>
      <c r="E428" s="74"/>
      <c r="F428" s="74"/>
    </row>
    <row r="429" customFormat="false" ht="15" hidden="false" customHeight="false" outlineLevel="0" collapsed="false">
      <c r="A429" s="74"/>
      <c r="B429" s="74"/>
      <c r="C429" s="74"/>
      <c r="D429" s="75"/>
      <c r="E429" s="74"/>
      <c r="F429" s="74"/>
    </row>
    <row r="430" customFormat="false" ht="15" hidden="false" customHeight="false" outlineLevel="0" collapsed="false">
      <c r="A430" s="74"/>
      <c r="B430" s="74"/>
      <c r="C430" s="74"/>
      <c r="D430" s="75"/>
      <c r="E430" s="74"/>
      <c r="F430" s="74"/>
    </row>
    <row r="431" customFormat="false" ht="15" hidden="false" customHeight="false" outlineLevel="0" collapsed="false">
      <c r="A431" s="74"/>
      <c r="B431" s="74"/>
      <c r="C431" s="74"/>
      <c r="D431" s="75"/>
      <c r="E431" s="74"/>
      <c r="F431" s="74"/>
    </row>
    <row r="432" customFormat="false" ht="15" hidden="false" customHeight="false" outlineLevel="0" collapsed="false">
      <c r="A432" s="74"/>
      <c r="B432" s="74"/>
      <c r="C432" s="74"/>
      <c r="D432" s="75"/>
      <c r="E432" s="74"/>
      <c r="F432" s="74"/>
    </row>
    <row r="433" customFormat="false" ht="15" hidden="false" customHeight="false" outlineLevel="0" collapsed="false">
      <c r="A433" s="74"/>
      <c r="B433" s="74"/>
      <c r="C433" s="74"/>
      <c r="D433" s="75"/>
      <c r="E433" s="74"/>
      <c r="F433" s="74"/>
    </row>
    <row r="434" customFormat="false" ht="15" hidden="false" customHeight="false" outlineLevel="0" collapsed="false">
      <c r="A434" s="74"/>
      <c r="B434" s="74"/>
      <c r="C434" s="74"/>
      <c r="D434" s="75"/>
      <c r="E434" s="74"/>
      <c r="F434" s="74"/>
    </row>
    <row r="435" customFormat="false" ht="15" hidden="false" customHeight="false" outlineLevel="0" collapsed="false">
      <c r="A435" s="74"/>
      <c r="B435" s="74"/>
      <c r="C435" s="74"/>
      <c r="D435" s="75"/>
      <c r="E435" s="74"/>
      <c r="F435" s="74"/>
    </row>
    <row r="436" customFormat="false" ht="15" hidden="false" customHeight="false" outlineLevel="0" collapsed="false">
      <c r="A436" s="74"/>
      <c r="B436" s="74"/>
      <c r="C436" s="74"/>
      <c r="D436" s="75"/>
      <c r="E436" s="74"/>
      <c r="F436" s="74"/>
    </row>
    <row r="437" customFormat="false" ht="15" hidden="false" customHeight="false" outlineLevel="0" collapsed="false">
      <c r="A437" s="74"/>
      <c r="B437" s="74"/>
      <c r="C437" s="74"/>
      <c r="D437" s="75"/>
      <c r="E437" s="74"/>
      <c r="F437" s="74"/>
    </row>
    <row r="438" customFormat="false" ht="15" hidden="false" customHeight="false" outlineLevel="0" collapsed="false">
      <c r="A438" s="74"/>
      <c r="B438" s="74"/>
      <c r="C438" s="74"/>
      <c r="D438" s="75"/>
      <c r="E438" s="74"/>
      <c r="F438" s="74"/>
    </row>
    <row r="439" customFormat="false" ht="15" hidden="false" customHeight="false" outlineLevel="0" collapsed="false">
      <c r="A439" s="74"/>
      <c r="B439" s="74"/>
      <c r="C439" s="74"/>
      <c r="D439" s="75"/>
      <c r="E439" s="74"/>
      <c r="F439" s="74"/>
    </row>
    <row r="440" customFormat="false" ht="15" hidden="false" customHeight="false" outlineLevel="0" collapsed="false">
      <c r="A440" s="74"/>
      <c r="B440" s="74"/>
      <c r="C440" s="74"/>
      <c r="D440" s="75"/>
      <c r="E440" s="74"/>
      <c r="F440" s="74"/>
    </row>
    <row r="441" customFormat="false" ht="15" hidden="false" customHeight="false" outlineLevel="0" collapsed="false">
      <c r="A441" s="74"/>
      <c r="B441" s="74"/>
      <c r="C441" s="74"/>
      <c r="D441" s="75"/>
      <c r="E441" s="74"/>
      <c r="F441" s="74"/>
    </row>
    <row r="442" customFormat="false" ht="15" hidden="false" customHeight="false" outlineLevel="0" collapsed="false">
      <c r="A442" s="74"/>
      <c r="B442" s="74"/>
      <c r="C442" s="74"/>
      <c r="D442" s="75"/>
      <c r="E442" s="74"/>
      <c r="F442" s="74"/>
    </row>
    <row r="443" customFormat="false" ht="15" hidden="false" customHeight="false" outlineLevel="0" collapsed="false">
      <c r="A443" s="74"/>
      <c r="B443" s="74"/>
      <c r="C443" s="74"/>
      <c r="D443" s="75"/>
      <c r="E443" s="74"/>
      <c r="F443" s="74"/>
    </row>
    <row r="444" customFormat="false" ht="15" hidden="false" customHeight="false" outlineLevel="0" collapsed="false">
      <c r="A444" s="74"/>
      <c r="B444" s="74"/>
      <c r="C444" s="74"/>
      <c r="D444" s="75"/>
      <c r="E444" s="74"/>
      <c r="F444" s="74"/>
    </row>
    <row r="445" customFormat="false" ht="15" hidden="false" customHeight="false" outlineLevel="0" collapsed="false">
      <c r="A445" s="74"/>
      <c r="B445" s="74"/>
      <c r="C445" s="74"/>
      <c r="D445" s="75"/>
      <c r="E445" s="74"/>
      <c r="F445" s="74"/>
    </row>
    <row r="446" customFormat="false" ht="15" hidden="false" customHeight="false" outlineLevel="0" collapsed="false">
      <c r="A446" s="74"/>
      <c r="B446" s="74"/>
      <c r="C446" s="74"/>
      <c r="D446" s="75"/>
      <c r="E446" s="74"/>
      <c r="F446" s="74"/>
    </row>
    <row r="447" customFormat="false" ht="15" hidden="false" customHeight="false" outlineLevel="0" collapsed="false">
      <c r="A447" s="74"/>
      <c r="B447" s="74"/>
      <c r="C447" s="74"/>
      <c r="D447" s="75"/>
      <c r="E447" s="74"/>
      <c r="F447" s="74"/>
    </row>
    <row r="448" customFormat="false" ht="15" hidden="false" customHeight="false" outlineLevel="0" collapsed="false">
      <c r="A448" s="74"/>
      <c r="B448" s="74"/>
      <c r="C448" s="74"/>
      <c r="D448" s="75"/>
      <c r="E448" s="74"/>
      <c r="F448" s="74"/>
    </row>
    <row r="449" customFormat="false" ht="15" hidden="false" customHeight="false" outlineLevel="0" collapsed="false">
      <c r="A449" s="74"/>
      <c r="B449" s="74"/>
      <c r="C449" s="74"/>
      <c r="D449" s="75"/>
      <c r="E449" s="74"/>
      <c r="F449" s="74"/>
    </row>
    <row r="450" customFormat="false" ht="15" hidden="false" customHeight="false" outlineLevel="0" collapsed="false">
      <c r="A450" s="74"/>
      <c r="B450" s="74"/>
      <c r="C450" s="74"/>
      <c r="D450" s="75"/>
      <c r="E450" s="74"/>
      <c r="F450" s="74"/>
    </row>
    <row r="451" customFormat="false" ht="15" hidden="false" customHeight="false" outlineLevel="0" collapsed="false">
      <c r="A451" s="74"/>
      <c r="B451" s="74"/>
      <c r="C451" s="74"/>
      <c r="D451" s="75"/>
      <c r="E451" s="74"/>
      <c r="F451" s="74"/>
    </row>
    <row r="452" customFormat="false" ht="15" hidden="false" customHeight="false" outlineLevel="0" collapsed="false">
      <c r="A452" s="74"/>
      <c r="B452" s="74"/>
      <c r="C452" s="74"/>
      <c r="D452" s="75"/>
      <c r="E452" s="74"/>
      <c r="F452" s="74"/>
    </row>
    <row r="453" customFormat="false" ht="15" hidden="false" customHeight="false" outlineLevel="0" collapsed="false">
      <c r="A453" s="74"/>
      <c r="B453" s="74"/>
      <c r="C453" s="74"/>
      <c r="D453" s="75"/>
      <c r="E453" s="74"/>
      <c r="F453" s="74"/>
    </row>
    <row r="454" customFormat="false" ht="15" hidden="false" customHeight="false" outlineLevel="0" collapsed="false">
      <c r="A454" s="74"/>
      <c r="B454" s="74"/>
      <c r="C454" s="74"/>
      <c r="D454" s="75"/>
      <c r="E454" s="74"/>
      <c r="F454" s="74"/>
    </row>
    <row r="455" customFormat="false" ht="15" hidden="false" customHeight="false" outlineLevel="0" collapsed="false">
      <c r="A455" s="74"/>
      <c r="B455" s="74"/>
      <c r="C455" s="74"/>
      <c r="D455" s="75"/>
      <c r="E455" s="74"/>
      <c r="F455" s="74"/>
    </row>
    <row r="456" customFormat="false" ht="15" hidden="false" customHeight="false" outlineLevel="0" collapsed="false">
      <c r="A456" s="74"/>
      <c r="B456" s="74"/>
      <c r="C456" s="74"/>
      <c r="D456" s="75"/>
      <c r="E456" s="74"/>
      <c r="F456" s="74"/>
    </row>
    <row r="457" customFormat="false" ht="15" hidden="false" customHeight="false" outlineLevel="0" collapsed="false">
      <c r="A457" s="74"/>
      <c r="B457" s="74"/>
      <c r="C457" s="74"/>
      <c r="D457" s="75"/>
      <c r="E457" s="74"/>
      <c r="F457" s="74"/>
    </row>
    <row r="458" customFormat="false" ht="15" hidden="false" customHeight="false" outlineLevel="0" collapsed="false">
      <c r="A458" s="74"/>
      <c r="B458" s="74"/>
      <c r="C458" s="74"/>
      <c r="D458" s="75"/>
      <c r="E458" s="74"/>
      <c r="F458" s="74"/>
    </row>
    <row r="459" customFormat="false" ht="15" hidden="false" customHeight="false" outlineLevel="0" collapsed="false">
      <c r="A459" s="74"/>
      <c r="B459" s="74"/>
      <c r="C459" s="74"/>
      <c r="D459" s="75"/>
      <c r="E459" s="74"/>
      <c r="F459" s="74"/>
    </row>
    <row r="460" customFormat="false" ht="15" hidden="false" customHeight="false" outlineLevel="0" collapsed="false">
      <c r="A460" s="74"/>
      <c r="B460" s="74"/>
      <c r="C460" s="74"/>
      <c r="D460" s="75"/>
      <c r="E460" s="74"/>
      <c r="F460" s="74"/>
    </row>
    <row r="461" customFormat="false" ht="15" hidden="false" customHeight="false" outlineLevel="0" collapsed="false">
      <c r="A461" s="74"/>
      <c r="B461" s="74"/>
      <c r="C461" s="74"/>
      <c r="D461" s="75"/>
      <c r="E461" s="74"/>
      <c r="F461" s="74"/>
    </row>
    <row r="462" customFormat="false" ht="15" hidden="false" customHeight="false" outlineLevel="0" collapsed="false">
      <c r="A462" s="74"/>
      <c r="B462" s="74"/>
      <c r="C462" s="74"/>
      <c r="D462" s="75"/>
      <c r="E462" s="74"/>
      <c r="F462" s="74"/>
    </row>
    <row r="463" customFormat="false" ht="15" hidden="false" customHeight="false" outlineLevel="0" collapsed="false">
      <c r="A463" s="74"/>
      <c r="B463" s="74"/>
      <c r="C463" s="74"/>
      <c r="D463" s="75"/>
      <c r="E463" s="74"/>
      <c r="F463" s="74"/>
    </row>
    <row r="464" customFormat="false" ht="15" hidden="false" customHeight="false" outlineLevel="0" collapsed="false">
      <c r="A464" s="74"/>
      <c r="B464" s="74"/>
      <c r="C464" s="74"/>
      <c r="D464" s="75"/>
      <c r="E464" s="74"/>
      <c r="F464" s="74"/>
    </row>
    <row r="465" customFormat="false" ht="15" hidden="false" customHeight="false" outlineLevel="0" collapsed="false">
      <c r="A465" s="74"/>
      <c r="B465" s="74"/>
      <c r="C465" s="74"/>
      <c r="D465" s="75"/>
      <c r="E465" s="74"/>
      <c r="F465" s="74"/>
    </row>
    <row r="466" customFormat="false" ht="15" hidden="false" customHeight="false" outlineLevel="0" collapsed="false">
      <c r="A466" s="74"/>
      <c r="B466" s="74"/>
      <c r="C466" s="74"/>
      <c r="D466" s="75"/>
      <c r="E466" s="74"/>
      <c r="F466" s="74"/>
    </row>
    <row r="467" customFormat="false" ht="15" hidden="false" customHeight="false" outlineLevel="0" collapsed="false">
      <c r="A467" s="74"/>
      <c r="B467" s="74"/>
      <c r="C467" s="74"/>
      <c r="D467" s="75"/>
      <c r="E467" s="74"/>
      <c r="F467" s="74"/>
    </row>
    <row r="468" customFormat="false" ht="15" hidden="false" customHeight="false" outlineLevel="0" collapsed="false">
      <c r="A468" s="74"/>
      <c r="B468" s="74"/>
      <c r="C468" s="74"/>
      <c r="D468" s="75"/>
      <c r="E468" s="74"/>
      <c r="F468" s="74"/>
    </row>
    <row r="469" customFormat="false" ht="15" hidden="false" customHeight="false" outlineLevel="0" collapsed="false">
      <c r="A469" s="74"/>
      <c r="B469" s="74"/>
      <c r="C469" s="74"/>
      <c r="D469" s="75"/>
      <c r="E469" s="74"/>
      <c r="F469" s="74"/>
    </row>
    <row r="470" customFormat="false" ht="15" hidden="false" customHeight="false" outlineLevel="0" collapsed="false">
      <c r="A470" s="74"/>
      <c r="B470" s="74"/>
      <c r="C470" s="74"/>
      <c r="D470" s="75"/>
      <c r="E470" s="74"/>
      <c r="F470" s="74"/>
    </row>
    <row r="471" customFormat="false" ht="15" hidden="false" customHeight="false" outlineLevel="0" collapsed="false">
      <c r="A471" s="74"/>
      <c r="B471" s="74"/>
      <c r="C471" s="74"/>
      <c r="D471" s="75"/>
      <c r="E471" s="74"/>
      <c r="F471" s="74"/>
    </row>
    <row r="472" customFormat="false" ht="15" hidden="false" customHeight="false" outlineLevel="0" collapsed="false">
      <c r="A472" s="74"/>
      <c r="B472" s="74"/>
      <c r="C472" s="74"/>
      <c r="D472" s="75"/>
      <c r="E472" s="74"/>
      <c r="F472" s="74"/>
    </row>
    <row r="473" customFormat="false" ht="15" hidden="false" customHeight="false" outlineLevel="0" collapsed="false">
      <c r="A473" s="74"/>
      <c r="B473" s="74"/>
      <c r="C473" s="74"/>
      <c r="D473" s="75"/>
      <c r="E473" s="74"/>
      <c r="F473" s="74"/>
    </row>
    <row r="474" customFormat="false" ht="15" hidden="false" customHeight="false" outlineLevel="0" collapsed="false">
      <c r="A474" s="74"/>
      <c r="B474" s="74"/>
      <c r="C474" s="74"/>
      <c r="D474" s="75"/>
      <c r="E474" s="74"/>
      <c r="F474" s="74"/>
    </row>
    <row r="475" customFormat="false" ht="15" hidden="false" customHeight="false" outlineLevel="0" collapsed="false">
      <c r="A475" s="74"/>
      <c r="B475" s="74"/>
      <c r="C475" s="74"/>
      <c r="D475" s="75"/>
      <c r="E475" s="74"/>
      <c r="F475" s="74"/>
    </row>
    <row r="476" customFormat="false" ht="15" hidden="false" customHeight="false" outlineLevel="0" collapsed="false">
      <c r="A476" s="74"/>
      <c r="B476" s="74"/>
      <c r="C476" s="74"/>
      <c r="D476" s="75"/>
      <c r="E476" s="74"/>
      <c r="F476" s="74"/>
    </row>
    <row r="477" customFormat="false" ht="15" hidden="false" customHeight="false" outlineLevel="0" collapsed="false">
      <c r="A477" s="74"/>
      <c r="B477" s="74"/>
      <c r="C477" s="74"/>
      <c r="D477" s="75"/>
      <c r="E477" s="74"/>
      <c r="F477" s="74"/>
    </row>
    <row r="478" customFormat="false" ht="15" hidden="false" customHeight="false" outlineLevel="0" collapsed="false">
      <c r="A478" s="74"/>
      <c r="B478" s="74"/>
      <c r="C478" s="74"/>
      <c r="D478" s="75"/>
      <c r="E478" s="74"/>
      <c r="F478" s="74"/>
    </row>
    <row r="479" customFormat="false" ht="15" hidden="false" customHeight="false" outlineLevel="0" collapsed="false">
      <c r="A479" s="74"/>
      <c r="B479" s="74"/>
      <c r="C479" s="74"/>
      <c r="D479" s="75"/>
      <c r="E479" s="74"/>
      <c r="F479" s="74"/>
    </row>
    <row r="480" customFormat="false" ht="15" hidden="false" customHeight="false" outlineLevel="0" collapsed="false">
      <c r="A480" s="74"/>
      <c r="B480" s="74"/>
      <c r="C480" s="74"/>
      <c r="D480" s="75"/>
      <c r="E480" s="74"/>
      <c r="F480" s="74"/>
    </row>
    <row r="481" customFormat="false" ht="15" hidden="false" customHeight="false" outlineLevel="0" collapsed="false">
      <c r="A481" s="74"/>
      <c r="B481" s="74"/>
      <c r="C481" s="74"/>
      <c r="D481" s="75"/>
      <c r="E481" s="74"/>
      <c r="F481" s="74"/>
    </row>
    <row r="482" customFormat="false" ht="15" hidden="false" customHeight="false" outlineLevel="0" collapsed="false">
      <c r="A482" s="74"/>
      <c r="B482" s="74"/>
      <c r="C482" s="74"/>
      <c r="D482" s="75"/>
      <c r="E482" s="74"/>
      <c r="F482" s="74"/>
    </row>
    <row r="483" customFormat="false" ht="15" hidden="false" customHeight="false" outlineLevel="0" collapsed="false">
      <c r="A483" s="74"/>
      <c r="B483" s="74"/>
      <c r="C483" s="74"/>
      <c r="D483" s="75"/>
      <c r="E483" s="74"/>
      <c r="F483" s="74"/>
    </row>
    <row r="484" customFormat="false" ht="15" hidden="false" customHeight="false" outlineLevel="0" collapsed="false">
      <c r="A484" s="74"/>
      <c r="B484" s="74"/>
      <c r="C484" s="74"/>
      <c r="D484" s="75"/>
      <c r="E484" s="74"/>
      <c r="F484" s="74"/>
    </row>
    <row r="485" customFormat="false" ht="15" hidden="false" customHeight="false" outlineLevel="0" collapsed="false">
      <c r="A485" s="74"/>
      <c r="B485" s="74"/>
      <c r="C485" s="74"/>
      <c r="D485" s="75"/>
      <c r="E485" s="74"/>
      <c r="F485" s="74"/>
    </row>
    <row r="486" customFormat="false" ht="15" hidden="false" customHeight="false" outlineLevel="0" collapsed="false">
      <c r="A486" s="74"/>
      <c r="B486" s="74"/>
      <c r="C486" s="74"/>
      <c r="D486" s="75"/>
      <c r="E486" s="74"/>
      <c r="F486" s="74"/>
    </row>
    <row r="487" customFormat="false" ht="15" hidden="false" customHeight="false" outlineLevel="0" collapsed="false">
      <c r="A487" s="74"/>
      <c r="B487" s="74"/>
      <c r="C487" s="74"/>
      <c r="D487" s="75"/>
      <c r="E487" s="74"/>
      <c r="F487" s="74"/>
    </row>
    <row r="488" customFormat="false" ht="15" hidden="false" customHeight="false" outlineLevel="0" collapsed="false">
      <c r="A488" s="74"/>
      <c r="B488" s="74"/>
      <c r="C488" s="74"/>
      <c r="D488" s="75"/>
      <c r="E488" s="74"/>
      <c r="F488" s="74"/>
    </row>
    <row r="489" customFormat="false" ht="15" hidden="false" customHeight="false" outlineLevel="0" collapsed="false">
      <c r="A489" s="74"/>
      <c r="B489" s="74"/>
      <c r="C489" s="74"/>
      <c r="D489" s="75"/>
      <c r="E489" s="74"/>
      <c r="F489" s="74"/>
    </row>
    <row r="490" customFormat="false" ht="15" hidden="false" customHeight="false" outlineLevel="0" collapsed="false">
      <c r="A490" s="74"/>
      <c r="B490" s="74"/>
      <c r="C490" s="74"/>
      <c r="D490" s="75"/>
      <c r="E490" s="74"/>
      <c r="F490" s="74"/>
    </row>
    <row r="491" customFormat="false" ht="15" hidden="false" customHeight="false" outlineLevel="0" collapsed="false">
      <c r="A491" s="74"/>
      <c r="B491" s="74"/>
      <c r="C491" s="74"/>
      <c r="D491" s="75"/>
      <c r="E491" s="74"/>
      <c r="F491" s="74"/>
    </row>
    <row r="492" customFormat="false" ht="15" hidden="false" customHeight="false" outlineLevel="0" collapsed="false">
      <c r="A492" s="74"/>
      <c r="B492" s="74"/>
      <c r="C492" s="74"/>
      <c r="D492" s="75"/>
      <c r="E492" s="74"/>
      <c r="F492" s="74"/>
    </row>
    <row r="493" customFormat="false" ht="15" hidden="false" customHeight="false" outlineLevel="0" collapsed="false">
      <c r="A493" s="74"/>
      <c r="B493" s="74"/>
      <c r="C493" s="74"/>
      <c r="D493" s="75"/>
      <c r="E493" s="74"/>
      <c r="F493" s="74"/>
    </row>
    <row r="494" customFormat="false" ht="15" hidden="false" customHeight="false" outlineLevel="0" collapsed="false">
      <c r="A494" s="74"/>
      <c r="B494" s="74"/>
      <c r="C494" s="74"/>
      <c r="D494" s="75"/>
      <c r="E494" s="74"/>
      <c r="F494" s="74"/>
    </row>
    <row r="495" customFormat="false" ht="15" hidden="false" customHeight="false" outlineLevel="0" collapsed="false">
      <c r="A495" s="74"/>
      <c r="B495" s="74"/>
      <c r="C495" s="74"/>
      <c r="D495" s="75"/>
      <c r="E495" s="74"/>
      <c r="F495" s="74"/>
    </row>
    <row r="496" customFormat="false" ht="15" hidden="false" customHeight="false" outlineLevel="0" collapsed="false">
      <c r="A496" s="74"/>
      <c r="B496" s="74"/>
      <c r="C496" s="74"/>
      <c r="D496" s="75"/>
      <c r="E496" s="74"/>
      <c r="F496" s="74"/>
    </row>
    <row r="497" customFormat="false" ht="15" hidden="false" customHeight="false" outlineLevel="0" collapsed="false">
      <c r="A497" s="74"/>
      <c r="B497" s="74"/>
      <c r="C497" s="74"/>
      <c r="D497" s="75"/>
      <c r="E497" s="74"/>
      <c r="F497" s="74"/>
    </row>
    <row r="498" customFormat="false" ht="15" hidden="false" customHeight="false" outlineLevel="0" collapsed="false">
      <c r="A498" s="74"/>
      <c r="B498" s="74"/>
      <c r="C498" s="74"/>
      <c r="D498" s="75"/>
      <c r="E498" s="74"/>
      <c r="F498" s="74"/>
    </row>
    <row r="499" customFormat="false" ht="15" hidden="false" customHeight="false" outlineLevel="0" collapsed="false">
      <c r="A499" s="74"/>
      <c r="B499" s="74"/>
      <c r="C499" s="74"/>
      <c r="D499" s="75"/>
      <c r="E499" s="74"/>
      <c r="F499" s="74"/>
    </row>
    <row r="500" customFormat="false" ht="15" hidden="false" customHeight="false" outlineLevel="0" collapsed="false">
      <c r="A500" s="74"/>
      <c r="B500" s="74"/>
      <c r="C500" s="74"/>
      <c r="D500" s="75"/>
      <c r="E500" s="74"/>
      <c r="F500" s="74"/>
    </row>
    <row r="501" customFormat="false" ht="15" hidden="false" customHeight="false" outlineLevel="0" collapsed="false">
      <c r="A501" s="74"/>
      <c r="B501" s="74"/>
      <c r="C501" s="74"/>
      <c r="D501" s="75"/>
      <c r="E501" s="74"/>
      <c r="F501" s="74"/>
    </row>
    <row r="502" customFormat="false" ht="15" hidden="false" customHeight="false" outlineLevel="0" collapsed="false">
      <c r="A502" s="74"/>
      <c r="B502" s="74"/>
      <c r="C502" s="74"/>
      <c r="D502" s="75"/>
      <c r="E502" s="74"/>
      <c r="F502" s="74"/>
    </row>
    <row r="503" customFormat="false" ht="15" hidden="false" customHeight="false" outlineLevel="0" collapsed="false">
      <c r="A503" s="74"/>
      <c r="B503" s="74"/>
      <c r="C503" s="74"/>
      <c r="D503" s="75"/>
      <c r="E503" s="74"/>
      <c r="F503" s="74"/>
    </row>
    <row r="504" customFormat="false" ht="15" hidden="false" customHeight="false" outlineLevel="0" collapsed="false">
      <c r="A504" s="74"/>
      <c r="B504" s="74"/>
      <c r="C504" s="74"/>
      <c r="D504" s="75"/>
      <c r="E504" s="74"/>
      <c r="F504" s="74"/>
    </row>
    <row r="505" customFormat="false" ht="15" hidden="false" customHeight="false" outlineLevel="0" collapsed="false">
      <c r="A505" s="74"/>
      <c r="B505" s="74"/>
      <c r="C505" s="74"/>
      <c r="D505" s="75"/>
      <c r="E505" s="74"/>
      <c r="F505" s="74"/>
    </row>
  </sheetData>
  <sheetProtection sheet="true" formatColumns="false" formatRows="false" sort="false" autoFilter="false"/>
  <mergeCells count="1">
    <mergeCell ref="A2:F2"/>
  </mergeCells>
  <dataValidations count="2">
    <dataValidation allowBlank="true" error="Enter a date as DD/MM/YYYY." errorStyle="stop" operator="greaterThan" showDropDown="false" showErrorMessage="true" showInputMessage="false" sqref="D6:D505" type="date">
      <formula1>1</formula1>
      <formula2>0</formula2>
    </dataValidation>
    <dataValidation allowBlank="true" errorStyle="stop" operator="between" showDropDown="false" showErrorMessage="false" showInputMessage="false" sqref="E6:E505" type="list">
      <formula1>Lists!$K$2:$K$31</formula1>
      <formula2>0</formula2>
    </dataValidation>
  </dataValidations>
  <printOptions headings="false" gridLines="false" gridLinesSet="true" horizontalCentered="false" verticalCentered="false"/>
  <pageMargins left="0.4" right="0.4"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BFBF"/>
    <pageSetUpPr fitToPage="true"/>
  </sheetPr>
  <dimension ref="A1:W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12"/>
    <col collapsed="false" customWidth="true" hidden="false" outlineLevel="0" max="3" min="3" style="0" width="26"/>
    <col collapsed="false" customWidth="true" hidden="false" outlineLevel="0" max="4" min="4" style="0" width="20"/>
    <col collapsed="false" customWidth="true" hidden="false" outlineLevel="0" max="5" min="5" style="0" width="18"/>
    <col collapsed="false" customWidth="true" hidden="false" outlineLevel="0" max="6" min="6" style="0" width="16"/>
    <col collapsed="false" customWidth="true" hidden="false" outlineLevel="0" max="7" min="7" style="0" width="24"/>
    <col collapsed="false" customWidth="true" hidden="false" outlineLevel="0" max="8" min="8" style="0" width="14"/>
    <col collapsed="false" customWidth="true" hidden="false" outlineLevel="0" max="9" min="9" style="0" width="24"/>
    <col collapsed="false" customWidth="true" hidden="false" outlineLevel="0" max="10" min="10" style="0" width="20"/>
    <col collapsed="false" customWidth="true" hidden="false" outlineLevel="0" max="11" min="11" style="0" width="22"/>
    <col collapsed="false" customWidth="true" hidden="false" outlineLevel="0" max="12" min="12" style="0" width="11"/>
    <col collapsed="false" customWidth="true" hidden="false" outlineLevel="0" max="13" min="13" style="0" width="22"/>
    <col collapsed="false" customWidth="true" hidden="false" outlineLevel="0" max="14" min="14" style="0" width="15"/>
    <col collapsed="false" customWidth="true" hidden="false" outlineLevel="0" max="15" min="15" style="0" width="12"/>
    <col collapsed="false" customWidth="true" hidden="false" outlineLevel="0" max="16" min="16" style="0" width="26"/>
    <col collapsed="false" customWidth="true" hidden="false" outlineLevel="0" max="17" min="17" style="0" width="12"/>
    <col collapsed="false" customWidth="true" hidden="false" outlineLevel="0" max="18" min="18" style="0" width="12.5"/>
    <col collapsed="false" customWidth="true" hidden="false" outlineLevel="0" max="19" min="19" style="0" width="17"/>
    <col collapsed="false" customWidth="true" hidden="false" outlineLevel="0" max="20" min="20" style="0" width="11"/>
    <col collapsed="false" customWidth="true" hidden="false" outlineLevel="0" max="21" min="21" style="0" width="30"/>
    <col collapsed="false" customWidth="true" hidden="true" outlineLevel="0" max="23" min="22" style="0" width="4"/>
  </cols>
  <sheetData>
    <row r="1" customFormat="false" ht="19.7" hidden="false" customHeight="false" outlineLevel="0" collapsed="false">
      <c r="A1" s="76" t="s">
        <v>241</v>
      </c>
    </row>
    <row r="2" customFormat="false" ht="15" hidden="false" customHeight="false" outlineLevel="0" collapsed="false">
      <c r="A2" s="16" t="s">
        <v>242</v>
      </c>
    </row>
    <row r="3" customFormat="false" ht="15" hidden="false" customHeight="true" outlineLevel="0" collapsed="false">
      <c r="A3" s="34" t="s">
        <v>100</v>
      </c>
      <c r="B3" s="34"/>
      <c r="C3" s="34"/>
      <c r="D3" s="34"/>
      <c r="E3" s="34"/>
      <c r="F3" s="34"/>
      <c r="G3" s="34"/>
      <c r="H3" s="34"/>
      <c r="I3" s="34" t="s">
        <v>101</v>
      </c>
      <c r="J3" s="34"/>
      <c r="K3" s="34"/>
      <c r="L3" s="34"/>
      <c r="M3" s="34"/>
      <c r="N3" s="34" t="s">
        <v>102</v>
      </c>
      <c r="O3" s="34"/>
      <c r="P3" s="34"/>
      <c r="Q3" s="34"/>
      <c r="R3" s="34"/>
      <c r="S3" s="34"/>
      <c r="T3" s="34" t="s">
        <v>103</v>
      </c>
      <c r="U3" s="34"/>
    </row>
    <row r="4" customFormat="false" ht="42" hidden="false" customHeight="true" outlineLevel="0" collapsed="false">
      <c r="A4" s="20" t="s">
        <v>70</v>
      </c>
      <c r="B4" s="20" t="s">
        <v>104</v>
      </c>
      <c r="C4" s="20" t="s">
        <v>71</v>
      </c>
      <c r="D4" s="20" t="s">
        <v>105</v>
      </c>
      <c r="E4" s="20" t="s">
        <v>106</v>
      </c>
      <c r="F4" s="20" t="s">
        <v>107</v>
      </c>
      <c r="G4" s="20" t="s">
        <v>108</v>
      </c>
      <c r="H4" s="20" t="s">
        <v>73</v>
      </c>
      <c r="I4" s="20" t="s">
        <v>109</v>
      </c>
      <c r="J4" s="20" t="s">
        <v>110</v>
      </c>
      <c r="K4" s="20" t="s">
        <v>111</v>
      </c>
      <c r="L4" s="20" t="s">
        <v>112</v>
      </c>
      <c r="M4" s="35" t="s">
        <v>113</v>
      </c>
      <c r="N4" s="20" t="s">
        <v>75</v>
      </c>
      <c r="O4" s="20" t="s">
        <v>114</v>
      </c>
      <c r="P4" s="20" t="s">
        <v>74</v>
      </c>
      <c r="Q4" s="20" t="s">
        <v>115</v>
      </c>
      <c r="R4" s="35" t="s">
        <v>116</v>
      </c>
      <c r="S4" s="35" t="s">
        <v>117</v>
      </c>
      <c r="T4" s="20" t="s">
        <v>118</v>
      </c>
      <c r="U4" s="20" t="s">
        <v>119</v>
      </c>
      <c r="V4" s="35" t="s">
        <v>120</v>
      </c>
      <c r="W4" s="35" t="s">
        <v>121</v>
      </c>
    </row>
    <row r="5" customFormat="false" ht="79.5" hidden="false" customHeight="true" outlineLevel="0" collapsed="false">
      <c r="A5" s="36" t="s">
        <v>122</v>
      </c>
      <c r="B5" s="36" t="s">
        <v>123</v>
      </c>
      <c r="C5" s="36" t="s">
        <v>124</v>
      </c>
      <c r="D5" s="36" t="s">
        <v>125</v>
      </c>
      <c r="E5" s="36" t="s">
        <v>126</v>
      </c>
      <c r="F5" s="36" t="s">
        <v>127</v>
      </c>
      <c r="G5" s="36" t="s">
        <v>128</v>
      </c>
      <c r="H5" s="36" t="s">
        <v>129</v>
      </c>
      <c r="I5" s="36" t="s">
        <v>130</v>
      </c>
      <c r="J5" s="36" t="s">
        <v>131</v>
      </c>
      <c r="K5" s="36" t="s">
        <v>132</v>
      </c>
      <c r="L5" s="36" t="s">
        <v>133</v>
      </c>
      <c r="M5" s="37" t="s">
        <v>134</v>
      </c>
      <c r="N5" s="36" t="s">
        <v>135</v>
      </c>
      <c r="O5" s="36" t="s">
        <v>136</v>
      </c>
      <c r="P5" s="36" t="s">
        <v>137</v>
      </c>
      <c r="Q5" s="36" t="s">
        <v>138</v>
      </c>
      <c r="R5" s="37" t="s">
        <v>139</v>
      </c>
      <c r="S5" s="37" t="s">
        <v>140</v>
      </c>
      <c r="T5" s="36" t="s">
        <v>141</v>
      </c>
      <c r="U5" s="36" t="s">
        <v>142</v>
      </c>
      <c r="V5" s="37"/>
      <c r="W5" s="37"/>
    </row>
    <row r="6" customFormat="false" ht="30" hidden="false" customHeight="true" outlineLevel="0" collapsed="false">
      <c r="A6" s="38" t="s">
        <v>243</v>
      </c>
      <c r="B6" s="39" t="n">
        <f aca="true">TODAY()-20</f>
        <v>46280</v>
      </c>
      <c r="C6" s="38" t="s">
        <v>244</v>
      </c>
      <c r="D6" s="38" t="s">
        <v>245</v>
      </c>
      <c r="E6" s="38" t="s">
        <v>246</v>
      </c>
      <c r="F6" s="38" t="s">
        <v>247</v>
      </c>
      <c r="G6" s="38" t="s">
        <v>248</v>
      </c>
      <c r="H6" s="40" t="s">
        <v>249</v>
      </c>
      <c r="I6" s="38" t="s">
        <v>250</v>
      </c>
      <c r="J6" s="38" t="s">
        <v>251</v>
      </c>
      <c r="K6" s="38" t="s">
        <v>252</v>
      </c>
      <c r="L6" s="41" t="s">
        <v>253</v>
      </c>
      <c r="M6" s="42" t="str">
        <f aca="false">IF(C6="","",IF(W6=1,"NO – opted out. Do not email.",IF(I6="","Pick a contact type",IF(LEFT(I6,4)="Sole",IF(OR(LEFT(J6,7)="Consent",LEFT(J6,4)="Soft"),"Yes – add opt-out + privacy link",IF(LEFT(J6,8)="Contract","Reply about their enquiry only","NO – needs consent first (PECR)")),"Yes – add opt-out + privacy link"))))</f>
        <v>Yes – add opt-out + privacy link</v>
      </c>
      <c r="N6" s="38" t="s">
        <v>254</v>
      </c>
      <c r="O6" s="39" t="n">
        <f aca="true">TODAY()-9</f>
        <v>46291</v>
      </c>
      <c r="P6" s="38" t="s">
        <v>255</v>
      </c>
      <c r="Q6" s="39"/>
      <c r="R6" s="43" t="n">
        <f aca="false">IF(C6="","",IF(Q6&lt;&gt;"",Q6,IF(OR(W6=1,N6="Won",N6="Lost",N6="Parked"),"",IF(O6&lt;&gt;"",O6+Lists!$N$2,IF(B6&lt;&gt;"",B6+Lists!$N$2,"")))))</f>
        <v>46298</v>
      </c>
      <c r="S6" s="42" t="str">
        <f aca="true">IF(C6="","",IF(W6=1,"Grey – do not email",IF(N6="Won","Won",IF(OR(N6="Lost",N6="Parked"),"Closed",IF(R6="","Amber – add next action",IF(R6&lt;TODAY(),"Red – overdue",IF(R6=TODAY(),"Red – due today",IF(R6-TODAY()&lt;=Lists!$N$3,"Amber – due soon","Green – on track"))))))))</f>
        <v>Red – overdue</v>
      </c>
      <c r="T6" s="44" t="n">
        <v>6000</v>
      </c>
      <c r="U6" s="38" t="s">
        <v>256</v>
      </c>
      <c r="V6" s="77" t="n">
        <f aca="true">IF(OR(C6="",W6=1,N6="Won",N6="Lost"),"",IF(ISNUMBER(R6),IF(R6&lt;=TODAY(),R6+ROW()/100000,""),""))</f>
        <v>46298.00006</v>
      </c>
      <c r="W6" s="42" t="n">
        <f aca="false">IF(OR(L6="Y",AND(G6&lt;&gt;"",COUNTIF('Do not contact'!$A$6:$A$505,G6)&gt;0)),1,0)</f>
        <v>0</v>
      </c>
    </row>
    <row r="7" customFormat="false" ht="30" hidden="false" customHeight="true" outlineLevel="0" collapsed="false">
      <c r="A7" s="38" t="s">
        <v>257</v>
      </c>
      <c r="B7" s="39" t="n">
        <f aca="true">TODAY()-6</f>
        <v>46294</v>
      </c>
      <c r="C7" s="38" t="s">
        <v>258</v>
      </c>
      <c r="D7" s="38" t="s">
        <v>259</v>
      </c>
      <c r="E7" s="38" t="s">
        <v>260</v>
      </c>
      <c r="F7" s="38" t="s">
        <v>261</v>
      </c>
      <c r="G7" s="38" t="s">
        <v>262</v>
      </c>
      <c r="H7" s="40" t="s">
        <v>263</v>
      </c>
      <c r="I7" s="38" t="s">
        <v>250</v>
      </c>
      <c r="J7" s="38" t="s">
        <v>251</v>
      </c>
      <c r="K7" s="38" t="s">
        <v>264</v>
      </c>
      <c r="L7" s="41" t="s">
        <v>253</v>
      </c>
      <c r="M7" s="42" t="str">
        <f aca="false">IF(C7="","",IF(W7=1,"NO – opted out. Do not email.",IF(I7="","Pick a contact type",IF(LEFT(I7,4)="Sole",IF(OR(LEFT(J7,7)="Consent",LEFT(J7,4)="Soft"),"Yes – add opt-out + privacy link",IF(LEFT(J7,8)="Contract","Reply about their enquiry only","NO – needs consent first (PECR)")),"Yes – add opt-out + privacy link"))))</f>
        <v>Yes – add opt-out + privacy link</v>
      </c>
      <c r="N7" s="38" t="s">
        <v>265</v>
      </c>
      <c r="O7" s="39" t="n">
        <f aca="true">TODAY()-2</f>
        <v>46298</v>
      </c>
      <c r="P7" s="38" t="s">
        <v>266</v>
      </c>
      <c r="Q7" s="39"/>
      <c r="R7" s="43" t="n">
        <f aca="false">IF(C7="","",IF(Q7&lt;&gt;"",Q7,IF(OR(W7=1,N7="Won",N7="Lost",N7="Parked"),"",IF(O7&lt;&gt;"",O7+Lists!$N$2,IF(B7&lt;&gt;"",B7+Lists!$N$2,"")))))</f>
        <v>46305</v>
      </c>
      <c r="S7" s="42" t="str">
        <f aca="true">IF(C7="","",IF(W7=1,"Grey – do not email",IF(N7="Won","Won",IF(OR(N7="Lost",N7="Parked"),"Closed",IF(R7="","Amber – add next action",IF(R7&lt;TODAY(),"Red – overdue",IF(R7=TODAY(),"Red – due today",IF(R7-TODAY()&lt;=Lists!$N$3,"Amber – due soon","Green – on track"))))))))</f>
        <v>Green – on track</v>
      </c>
      <c r="T7" s="44" t="n">
        <v>4000</v>
      </c>
      <c r="U7" s="38" t="s">
        <v>267</v>
      </c>
      <c r="V7" s="42" t="str">
        <f aca="true">IF(OR(C7="",W7=1,N7="Won",N7="Lost"),"",IF(ISNUMBER(R7),IF(R7&lt;=TODAY(),R7+ROW()/100000,""),""))</f>
        <v/>
      </c>
      <c r="W7" s="42" t="n">
        <f aca="false">IF(OR(L7="Y",AND(G7&lt;&gt;"",COUNTIF('Do not contact'!$A$6:$A$505,G7)&gt;0)),1,0)</f>
        <v>0</v>
      </c>
    </row>
    <row r="8" customFormat="false" ht="30" hidden="false" customHeight="true" outlineLevel="0" collapsed="false">
      <c r="A8" s="38" t="s">
        <v>268</v>
      </c>
      <c r="B8" s="39" t="n">
        <f aca="true">TODAY()-1</f>
        <v>46299</v>
      </c>
      <c r="C8" s="38" t="s">
        <v>269</v>
      </c>
      <c r="D8" s="38" t="s">
        <v>270</v>
      </c>
      <c r="E8" s="38" t="s">
        <v>271</v>
      </c>
      <c r="F8" s="38" t="s">
        <v>272</v>
      </c>
      <c r="G8" s="38" t="s">
        <v>273</v>
      </c>
      <c r="H8" s="40" t="s">
        <v>274</v>
      </c>
      <c r="I8" s="38" t="s">
        <v>275</v>
      </c>
      <c r="J8" s="38" t="s">
        <v>251</v>
      </c>
      <c r="K8" s="38" t="s">
        <v>276</v>
      </c>
      <c r="L8" s="41" t="s">
        <v>253</v>
      </c>
      <c r="M8" s="42" t="str">
        <f aca="false">IF(C8="","",IF(W8=1,"NO – opted out. Do not email.",IF(I8="","Pick a contact type",IF(LEFT(I8,4)="Sole",IF(OR(LEFT(J8,7)="Consent",LEFT(J8,4)="Soft"),"Yes – add opt-out + privacy link",IF(LEFT(J8,8)="Contract","Reply about their enquiry only","NO – needs consent first (PECR)")),"Yes – add opt-out + privacy link"))))</f>
        <v>NO – needs consent first (PECR)</v>
      </c>
      <c r="N8" s="38" t="s">
        <v>277</v>
      </c>
      <c r="O8" s="39"/>
      <c r="P8" s="38" t="s">
        <v>278</v>
      </c>
      <c r="Q8" s="39"/>
      <c r="R8" s="43" t="n">
        <f aca="false">IF(C8="","",IF(Q8&lt;&gt;"",Q8,IF(OR(W8=1,N8="Won",N8="Lost",N8="Parked"),"",IF(O8&lt;&gt;"",O8+Lists!$N$2,IF(B8&lt;&gt;"",B8+Lists!$N$2,"")))))</f>
        <v>46306</v>
      </c>
      <c r="S8" s="42" t="str">
        <f aca="true">IF(C8="","",IF(W8=1,"Grey – do not email",IF(N8="Won","Won",IF(OR(N8="Lost",N8="Parked"),"Closed",IF(R8="","Amber – add next action",IF(R8&lt;TODAY(),"Red – overdue",IF(R8=TODAY(),"Red – due today",IF(R8-TODAY()&lt;=Lists!$N$3,"Amber – due soon","Green – on track"))))))))</f>
        <v>Green – on track</v>
      </c>
      <c r="T8" s="44" t="n">
        <v>1500</v>
      </c>
      <c r="U8" s="38" t="s">
        <v>279</v>
      </c>
      <c r="V8" s="42" t="str">
        <f aca="true">IF(OR(C8="",W8=1,N8="Won",N8="Lost"),"",IF(ISNUMBER(R8),IF(R8&lt;=TODAY(),R8+ROW()/100000,""),""))</f>
        <v/>
      </c>
      <c r="W8" s="42" t="n">
        <f aca="false">IF(OR(L8="Y",AND(G8&lt;&gt;"",COUNTIF('Do not contact'!$A$6:$A$505,G8)&gt;0)),1,0)</f>
        <v>0</v>
      </c>
    </row>
    <row r="9" customFormat="false" ht="30" hidden="false" customHeight="true" outlineLevel="0" collapsed="false">
      <c r="A9" s="38" t="s">
        <v>280</v>
      </c>
      <c r="B9" s="39" t="n">
        <f aca="true">TODAY()-40</f>
        <v>46260</v>
      </c>
      <c r="C9" s="38" t="s">
        <v>281</v>
      </c>
      <c r="D9" s="38" t="s">
        <v>282</v>
      </c>
      <c r="E9" s="38" t="s">
        <v>283</v>
      </c>
      <c r="F9" s="38" t="s">
        <v>284</v>
      </c>
      <c r="G9" s="38" t="s">
        <v>285</v>
      </c>
      <c r="H9" s="40" t="s">
        <v>286</v>
      </c>
      <c r="I9" s="38" t="s">
        <v>250</v>
      </c>
      <c r="J9" s="38" t="s">
        <v>251</v>
      </c>
      <c r="K9" s="38" t="s">
        <v>287</v>
      </c>
      <c r="L9" s="41" t="s">
        <v>288</v>
      </c>
      <c r="M9" s="42" t="str">
        <f aca="false">IF(C9="","",IF(W9=1,"NO – opted out. Do not email.",IF(I9="","Pick a contact type",IF(LEFT(I9,4)="Sole",IF(OR(LEFT(J9,7)="Consent",LEFT(J9,4)="Soft"),"Yes – add opt-out + privacy link",IF(LEFT(J9,8)="Contract","Reply about their enquiry only","NO – needs consent first (PECR)")),"Yes – add opt-out + privacy link"))))</f>
        <v>NO – opted out. Do not email.</v>
      </c>
      <c r="N9" s="38" t="s">
        <v>289</v>
      </c>
      <c r="O9" s="39" t="n">
        <f aca="true">TODAY()-30</f>
        <v>46270</v>
      </c>
      <c r="P9" s="38"/>
      <c r="Q9" s="39"/>
      <c r="R9" s="43" t="str">
        <f aca="false">IF(C9="","",IF(Q9&lt;&gt;"",Q9,IF(OR(W9=1,N9="Won",N9="Lost",N9="Parked"),"",IF(O9&lt;&gt;"",O9+Lists!$N$2,IF(B9&lt;&gt;"",B9+Lists!$N$2,"")))))</f>
        <v/>
      </c>
      <c r="S9" s="42" t="str">
        <f aca="true">IF(C9="","",IF(W9=1,"Grey – do not email",IF(N9="Won","Won",IF(OR(N9="Lost",N9="Parked"),"Closed",IF(R9="","Amber – add next action",IF(R9&lt;TODAY(),"Red – overdue",IF(R9=TODAY(),"Red – due today",IF(R9-TODAY()&lt;=Lists!$N$3,"Amber – due soon","Green – on track"))))))))</f>
        <v>Grey – do not email</v>
      </c>
      <c r="T9" s="44"/>
      <c r="U9" s="38" t="s">
        <v>290</v>
      </c>
      <c r="V9" s="42" t="str">
        <f aca="true">IF(OR(C9="",W9=1,N9="Won",N9="Lost"),"",IF(ISNUMBER(R9),IF(R9&lt;=TODAY(),R9+ROW()/100000,""),""))</f>
        <v/>
      </c>
      <c r="W9" s="42" t="n">
        <f aca="false">IF(OR(L9="Y",AND(G9&lt;&gt;"",COUNTIF('Do not contact'!$A$6:$A$505,G9)&gt;0)),1,0)</f>
        <v>1</v>
      </c>
    </row>
    <row r="10" customFormat="false" ht="30" hidden="false" customHeight="true" outlineLevel="0" collapsed="false">
      <c r="A10" s="38" t="s">
        <v>291</v>
      </c>
      <c r="B10" s="39" t="n">
        <f aca="true">TODAY()-25</f>
        <v>46275</v>
      </c>
      <c r="C10" s="38" t="s">
        <v>292</v>
      </c>
      <c r="D10" s="38" t="s">
        <v>293</v>
      </c>
      <c r="E10" s="38" t="s">
        <v>294</v>
      </c>
      <c r="F10" s="38" t="s">
        <v>295</v>
      </c>
      <c r="G10" s="38" t="s">
        <v>296</v>
      </c>
      <c r="H10" s="40" t="s">
        <v>297</v>
      </c>
      <c r="I10" s="38" t="s">
        <v>298</v>
      </c>
      <c r="J10" s="38" t="s">
        <v>251</v>
      </c>
      <c r="K10" s="38" t="s">
        <v>299</v>
      </c>
      <c r="L10" s="41" t="s">
        <v>253</v>
      </c>
      <c r="M10" s="42" t="str">
        <f aca="false">IF(C10="","",IF(W10=1,"NO – opted out. Do not email.",IF(I10="","Pick a contact type",IF(LEFT(I10,4)="Sole",IF(OR(LEFT(J10,7)="Consent",LEFT(J10,4)="Soft"),"Yes – add opt-out + privacy link",IF(LEFT(J10,8)="Contract","Reply about their enquiry only","NO – needs consent first (PECR)")),"Yes – add opt-out + privacy link"))))</f>
        <v>Yes – add opt-out + privacy link</v>
      </c>
      <c r="N10" s="38" t="s">
        <v>300</v>
      </c>
      <c r="O10" s="39" t="n">
        <f aca="true">TODAY()-5</f>
        <v>46295</v>
      </c>
      <c r="P10" s="38" t="s">
        <v>301</v>
      </c>
      <c r="Q10" s="39" t="n">
        <f aca="true">TODAY()</f>
        <v>46300</v>
      </c>
      <c r="R10" s="43" t="n">
        <f aca="false">IF(C10="","",IF(Q10&lt;&gt;"",Q10,IF(OR(W10=1,N10="Won",N10="Lost",N10="Parked"),"",IF(O10&lt;&gt;"",O10+Lists!$N$2,IF(B10&lt;&gt;"",B10+Lists!$N$2,"")))))</f>
        <v>46300</v>
      </c>
      <c r="S10" s="42" t="str">
        <f aca="true">IF(C10="","",IF(W10=1,"Grey – do not email",IF(N10="Won","Won",IF(OR(N10="Lost",N10="Parked"),"Closed",IF(R10="","Amber – add next action",IF(R10&lt;TODAY(),"Red – overdue",IF(R10=TODAY(),"Red – due today",IF(R10-TODAY()&lt;=Lists!$N$3,"Amber – due soon","Green – on track"))))))))</f>
        <v>Red – due today</v>
      </c>
      <c r="T10" s="44" t="n">
        <v>2500</v>
      </c>
      <c r="U10" s="38" t="s">
        <v>302</v>
      </c>
      <c r="V10" s="77" t="n">
        <f aca="true">IF(OR(C10="",W10=1,N10="Won",N10="Lost"),"",IF(ISNUMBER(R10),IF(R10&lt;=TODAY(),R10+ROW()/100000,""),""))</f>
        <v>46300.0001</v>
      </c>
      <c r="W10" s="42" t="n">
        <f aca="false">IF(OR(L10="Y",AND(G10&lt;&gt;"",COUNTIF('Do not contact'!$A$6:$A$505,G10)&gt;0)),1,0)</f>
        <v>0</v>
      </c>
    </row>
  </sheetData>
  <autoFilter ref="A4:U10"/>
  <mergeCells count="4">
    <mergeCell ref="A3:H3"/>
    <mergeCell ref="I3:M3"/>
    <mergeCell ref="N3:S3"/>
    <mergeCell ref="T3:U3"/>
  </mergeCells>
  <conditionalFormatting sqref="A6:U10">
    <cfRule type="expression" priority="2" aboveAverage="0" equalAverage="0" bottom="0" percent="0" rank="0" text="" dxfId="14">
      <formula>$W6=1</formula>
    </cfRule>
  </conditionalFormatting>
  <conditionalFormatting sqref="M6:M10">
    <cfRule type="expression" priority="3" aboveAverage="0" equalAverage="0" bottom="0" percent="0" rank="0" text="" dxfId="3">
      <formula>LEFT(M6,2)="NO"</formula>
    </cfRule>
  </conditionalFormatting>
  <conditionalFormatting sqref="S6:S10">
    <cfRule type="expression" priority="4" aboveAverage="0" equalAverage="0" bottom="0" percent="0" rank="0" text="" dxfId="15">
      <formula>LEFT(S6,3)="Red"</formula>
    </cfRule>
    <cfRule type="expression" priority="5" aboveAverage="0" equalAverage="0" bottom="0" percent="0" rank="0" text="" dxfId="16">
      <formula>LEFT(S6,5)="Amber"</formula>
    </cfRule>
    <cfRule type="expression" priority="6" aboveAverage="0" equalAverage="0" bottom="0" percent="0" rank="0" text="" dxfId="17">
      <formula>OR(LEFT(S6,5)="Green",S6="Won")</formula>
    </cfRule>
  </conditionalFormatting>
  <conditionalFormatting sqref="R6:R10">
    <cfRule type="expression" priority="7" aboveAverage="0" equalAverage="0" bottom="0" percent="0" rank="0" text="" dxfId="3">
      <formula>AND(ISNUMBER(R6),R6&lt;=TODAY())</formula>
    </cfRule>
  </conditionalFormatting>
  <conditionalFormatting sqref="I6:I10">
    <cfRule type="expression" priority="8" aboveAverage="0" equalAverage="0" bottom="0" percent="0" rank="0" text="" dxfId="5">
      <formula>LEFT(I6,4)="Sole"</formula>
    </cfRule>
  </conditionalFormatting>
  <dataValidations count="9">
    <dataValidation allowBlank="true" error="Enter a date as DD/MM/YYYY." errorStyle="stop" errorTitle="Date" operator="greaterThan" showDropDown="false" showErrorMessage="true" showInputMessage="false" sqref="B6:B10 O6:O10 Q6:Q10" type="date">
      <formula1>1</formula1>
      <formula2>0</formula2>
    </dataValidation>
    <dataValidation allowBlank="true" error="Numbers only, no £ sign." errorStyle="stop" operator="greaterThanOrEqual" showDropDown="false" showErrorMessage="true" showInputMessage="false" sqref="T6:T10" type="decimal">
      <formula1>0</formula1>
      <formula2>0</formula2>
    </dataValidation>
    <dataValidation allowBlank="true" errorStyle="stop" operator="between" showDropDown="false" showErrorMessage="false" showInputMessage="false" sqref="D6:D10" type="list">
      <formula1>Lists!$A$2:$A$31</formula1>
      <formula2>0</formula2>
    </dataValidation>
    <dataValidation allowBlank="true" errorStyle="stop" operator="between" showDropDown="false" showErrorMessage="false" showInputMessage="false" sqref="I6:I10" type="list">
      <formula1>Lists!$B$2:$B$31</formula1>
      <formula2>0</formula2>
    </dataValidation>
    <dataValidation allowBlank="true" errorStyle="stop" operator="between" showDropDown="false" showErrorMessage="false" showInputMessage="false" sqref="J6:J10" type="list">
      <formula1>Lists!$C$2:$C$31</formula1>
      <formula2>0</formula2>
    </dataValidation>
    <dataValidation allowBlank="true" errorStyle="stop" operator="between" showDropDown="false" showErrorMessage="false" showInputMessage="false" sqref="K6:K10" type="list">
      <formula1>Lists!$D$2:$D$31</formula1>
      <formula2>0</formula2>
    </dataValidation>
    <dataValidation allowBlank="true" errorStyle="stop" operator="between" showDropDown="false" showErrorMessage="false" showInputMessage="false" sqref="N6:N10" type="list">
      <formula1>Lists!$E$2:$E$31</formula1>
      <formula2>0</formula2>
    </dataValidation>
    <dataValidation allowBlank="true" errorStyle="stop" operator="between" showDropDown="false" showErrorMessage="false" showInputMessage="false" sqref="L6:L10" type="list">
      <formula1>Lists!$J$2:$J$31</formula1>
      <formula2>0</formula2>
    </dataValidation>
    <dataValidation allowBlank="true" error="That does not look like an email address." errorStyle="warning" errorTitle="Email" operator="between" showDropDown="false" showErrorMessage="true" showInputMessage="false" sqref="G6:G10" type="custom">
      <formula1>ISNUMBER(SEARCH("@",G6))</formula1>
      <formula2>0</formula2>
    </dataValidation>
  </dataValidations>
  <printOptions headings="false" gridLines="false" gridLinesSet="true" horizontalCentered="false" verticalCentered="false"/>
  <pageMargins left="0.4" right="0.4" top="1" bottom="1" header="0.511811023622047" footer="0.5"/>
  <pageSetup paperSize="8" scale="100" fitToWidth="1" fitToHeight="0" pageOrder="downThenOver" orientation="landscape"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O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1" min="1" style="0" width="30"/>
    <col collapsed="false" customWidth="true" hidden="false" outlineLevel="0" max="13" min="13" style="0" width="40"/>
    <col collapsed="false" customWidth="true" hidden="false" outlineLevel="0" max="14" min="14" style="0" width="10"/>
    <col collapsed="false" customWidth="true" hidden="false" outlineLevel="0" max="15" min="15" style="0" width="52"/>
  </cols>
  <sheetData>
    <row r="1" customFormat="false" ht="15" hidden="false" customHeight="false" outlineLevel="0" collapsed="false">
      <c r="A1" s="78" t="s">
        <v>105</v>
      </c>
      <c r="B1" s="78" t="s">
        <v>109</v>
      </c>
      <c r="C1" s="78" t="s">
        <v>110</v>
      </c>
      <c r="D1" s="78" t="s">
        <v>111</v>
      </c>
      <c r="E1" s="78" t="s">
        <v>75</v>
      </c>
      <c r="F1" s="78" t="s">
        <v>303</v>
      </c>
      <c r="G1" s="78" t="s">
        <v>148</v>
      </c>
      <c r="H1" s="78" t="s">
        <v>83</v>
      </c>
      <c r="I1" s="78" t="s">
        <v>304</v>
      </c>
      <c r="J1" s="78" t="s">
        <v>305</v>
      </c>
      <c r="K1" s="78" t="s">
        <v>306</v>
      </c>
      <c r="M1" s="79" t="s">
        <v>307</v>
      </c>
      <c r="N1" s="5"/>
      <c r="O1" s="5"/>
    </row>
    <row r="2" customFormat="false" ht="22.35" hidden="false" customHeight="false" outlineLevel="0" collapsed="false">
      <c r="A2" s="80" t="s">
        <v>259</v>
      </c>
      <c r="B2" s="80" t="s">
        <v>250</v>
      </c>
      <c r="C2" s="80" t="s">
        <v>251</v>
      </c>
      <c r="D2" s="80" t="s">
        <v>308</v>
      </c>
      <c r="E2" s="80" t="s">
        <v>277</v>
      </c>
      <c r="F2" s="80" t="s">
        <v>309</v>
      </c>
      <c r="G2" s="80" t="s">
        <v>310</v>
      </c>
      <c r="H2" s="80" t="s">
        <v>311</v>
      </c>
      <c r="I2" s="80" t="s">
        <v>312</v>
      </c>
      <c r="J2" s="80" t="s">
        <v>288</v>
      </c>
      <c r="K2" s="80" t="s">
        <v>313</v>
      </c>
      <c r="M2" s="48" t="s">
        <v>314</v>
      </c>
      <c r="N2" s="81" t="n">
        <v>7</v>
      </c>
      <c r="O2" s="82" t="s">
        <v>315</v>
      </c>
    </row>
    <row r="3" customFormat="false" ht="15" hidden="false" customHeight="false" outlineLevel="0" collapsed="false">
      <c r="A3" s="80" t="s">
        <v>245</v>
      </c>
      <c r="B3" s="80" t="s">
        <v>275</v>
      </c>
      <c r="C3" s="80" t="s">
        <v>316</v>
      </c>
      <c r="D3" s="80" t="s">
        <v>264</v>
      </c>
      <c r="E3" s="80" t="s">
        <v>265</v>
      </c>
      <c r="F3" s="80" t="s">
        <v>317</v>
      </c>
      <c r="G3" s="80" t="s">
        <v>318</v>
      </c>
      <c r="H3" s="80" t="s">
        <v>319</v>
      </c>
      <c r="I3" s="80" t="s">
        <v>93</v>
      </c>
      <c r="J3" s="80" t="s">
        <v>253</v>
      </c>
      <c r="K3" s="80" t="s">
        <v>320</v>
      </c>
      <c r="M3" s="48" t="s">
        <v>321</v>
      </c>
      <c r="N3" s="81" t="n">
        <v>3</v>
      </c>
      <c r="O3" s="82" t="s">
        <v>322</v>
      </c>
    </row>
    <row r="4" customFormat="false" ht="15" hidden="false" customHeight="false" outlineLevel="0" collapsed="false">
      <c r="A4" s="80" t="s">
        <v>323</v>
      </c>
      <c r="B4" s="80" t="s">
        <v>298</v>
      </c>
      <c r="C4" s="80" t="s">
        <v>324</v>
      </c>
      <c r="D4" s="80" t="s">
        <v>325</v>
      </c>
      <c r="E4" s="80" t="s">
        <v>254</v>
      </c>
      <c r="F4" s="80" t="s">
        <v>326</v>
      </c>
      <c r="G4" s="80" t="s">
        <v>327</v>
      </c>
      <c r="H4" s="80" t="s">
        <v>328</v>
      </c>
      <c r="I4" s="80" t="s">
        <v>94</v>
      </c>
      <c r="K4" s="80" t="s">
        <v>329</v>
      </c>
      <c r="M4" s="48" t="s">
        <v>330</v>
      </c>
      <c r="N4" s="81" t="n">
        <v>14</v>
      </c>
      <c r="O4" s="82" t="s">
        <v>331</v>
      </c>
    </row>
    <row r="5" customFormat="false" ht="15" hidden="false" customHeight="false" outlineLevel="0" collapsed="false">
      <c r="A5" s="80" t="s">
        <v>282</v>
      </c>
      <c r="C5" s="80" t="s">
        <v>332</v>
      </c>
      <c r="D5" s="80" t="s">
        <v>252</v>
      </c>
      <c r="E5" s="80" t="s">
        <v>333</v>
      </c>
      <c r="F5" s="80" t="s">
        <v>334</v>
      </c>
      <c r="G5" s="80" t="s">
        <v>335</v>
      </c>
      <c r="I5" s="80" t="s">
        <v>336</v>
      </c>
      <c r="K5" s="80" t="s">
        <v>337</v>
      </c>
      <c r="M5" s="48" t="s">
        <v>338</v>
      </c>
      <c r="N5" s="81" t="n">
        <v>7</v>
      </c>
      <c r="O5" s="82" t="s">
        <v>339</v>
      </c>
    </row>
    <row r="6" customFormat="false" ht="15" hidden="false" customHeight="false" outlineLevel="0" collapsed="false">
      <c r="A6" s="80" t="s">
        <v>340</v>
      </c>
      <c r="D6" s="80" t="s">
        <v>276</v>
      </c>
      <c r="E6" s="80" t="s">
        <v>341</v>
      </c>
      <c r="F6" s="80" t="s">
        <v>93</v>
      </c>
      <c r="G6" s="80" t="s">
        <v>342</v>
      </c>
      <c r="I6" s="80" t="s">
        <v>343</v>
      </c>
      <c r="K6" s="80" t="s">
        <v>344</v>
      </c>
      <c r="M6" s="48" t="s">
        <v>345</v>
      </c>
      <c r="N6" s="81" t="n">
        <v>7</v>
      </c>
      <c r="O6" s="82" t="s">
        <v>346</v>
      </c>
    </row>
    <row r="7" customFormat="false" ht="15" hidden="false" customHeight="false" outlineLevel="0" collapsed="false">
      <c r="A7" s="80" t="s">
        <v>293</v>
      </c>
      <c r="D7" s="80" t="s">
        <v>287</v>
      </c>
      <c r="E7" s="80" t="s">
        <v>300</v>
      </c>
      <c r="F7" s="80" t="s">
        <v>94</v>
      </c>
      <c r="G7" s="80" t="s">
        <v>347</v>
      </c>
      <c r="K7" s="80" t="s">
        <v>348</v>
      </c>
      <c r="M7" s="48" t="s">
        <v>349</v>
      </c>
      <c r="N7" s="81" t="n">
        <v>14</v>
      </c>
      <c r="O7" s="82"/>
    </row>
    <row r="8" customFormat="false" ht="22.35" hidden="false" customHeight="false" outlineLevel="0" collapsed="false">
      <c r="A8" s="80" t="s">
        <v>350</v>
      </c>
      <c r="D8" s="80" t="s">
        <v>351</v>
      </c>
      <c r="E8" s="80" t="s">
        <v>352</v>
      </c>
      <c r="F8" s="80" t="s">
        <v>336</v>
      </c>
      <c r="G8" s="80" t="s">
        <v>353</v>
      </c>
      <c r="M8" s="48" t="s">
        <v>354</v>
      </c>
      <c r="N8" s="83" t="s">
        <v>355</v>
      </c>
      <c r="O8" s="82" t="s">
        <v>356</v>
      </c>
    </row>
    <row r="9" customFormat="false" ht="15" hidden="false" customHeight="false" outlineLevel="0" collapsed="false">
      <c r="A9" s="80" t="s">
        <v>357</v>
      </c>
      <c r="D9" s="80" t="s">
        <v>358</v>
      </c>
      <c r="E9" s="80" t="s">
        <v>93</v>
      </c>
      <c r="G9" s="80" t="s">
        <v>359</v>
      </c>
    </row>
    <row r="10" customFormat="false" ht="15" hidden="false" customHeight="false" outlineLevel="0" collapsed="false">
      <c r="A10" s="80" t="s">
        <v>360</v>
      </c>
      <c r="D10" s="80" t="s">
        <v>299</v>
      </c>
      <c r="E10" s="80" t="s">
        <v>94</v>
      </c>
      <c r="G10" s="80" t="s">
        <v>348</v>
      </c>
    </row>
    <row r="11" customFormat="false" ht="15" hidden="false" customHeight="false" outlineLevel="0" collapsed="false">
      <c r="A11" s="80" t="s">
        <v>361</v>
      </c>
      <c r="D11" s="80" t="s">
        <v>362</v>
      </c>
      <c r="E11" s="80" t="s">
        <v>289</v>
      </c>
    </row>
    <row r="12" customFormat="false" ht="15" hidden="false" customHeight="false" outlineLevel="0" collapsed="false">
      <c r="A12" s="80" t="s">
        <v>363</v>
      </c>
    </row>
    <row r="13" customFormat="false" ht="15" hidden="false" customHeight="false" outlineLevel="0" collapsed="false">
      <c r="A13" s="80" t="s">
        <v>364</v>
      </c>
    </row>
    <row r="14" customFormat="false" ht="15" hidden="false" customHeight="false" outlineLevel="0" collapsed="false">
      <c r="A14" s="80" t="s">
        <v>270</v>
      </c>
    </row>
    <row r="15" customFormat="false" ht="15" hidden="false" customHeight="false" outlineLevel="0" collapsed="false">
      <c r="A15" s="80" t="s">
        <v>365</v>
      </c>
    </row>
    <row r="16" customFormat="false" ht="15" hidden="false" customHeight="false" outlineLevel="0" collapsed="false">
      <c r="A16" s="80" t="s">
        <v>366</v>
      </c>
    </row>
    <row r="17" customFormat="false" ht="15" hidden="false" customHeight="false" outlineLevel="0" collapsed="false">
      <c r="A17" s="80" t="s">
        <v>348</v>
      </c>
    </row>
    <row r="33" customFormat="false" ht="30" hidden="false" customHeight="true" outlineLevel="0" collapsed="false">
      <c r="A33" s="30" t="s">
        <v>367</v>
      </c>
      <c r="B33" s="30"/>
      <c r="C33" s="30"/>
      <c r="D33" s="30"/>
      <c r="E33" s="30"/>
      <c r="F33" s="30"/>
      <c r="G33" s="30"/>
      <c r="H33" s="30"/>
      <c r="I33" s="30"/>
      <c r="J33" s="30"/>
      <c r="K33" s="30"/>
    </row>
  </sheetData>
  <mergeCells count="1">
    <mergeCell ref="A33:K33"/>
  </mergeCells>
  <printOptions headings="false" gridLines="false" gridLinesSet="true" horizontalCentered="false" verticalCentered="false"/>
  <pageMargins left="0.4" right="0.4"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&amp;L&amp;"Aptos,Regular"&amp;8[COMPANY NAME] – Lead and Tender Tracker – ARB-BD-04 – Version 1.0&amp;R&amp;"Aptos,Regular"&amp;8Page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2026-10-05T10:43:16Z</dcterms:created>
  <dc:creator>openpyxl</dc:creator>
  <dc:description/>
  <dc:language>en-US</dc:language>
  <cp:lastModifiedBy/>
  <dcterms:modified xsi:type="dcterms:W3CDTF">2026-10-05T11:43:20Z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