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Inputs" sheetId="2" state="visible" r:id="rId4"/>
    <sheet name="Calcs" sheetId="3" state="visible" r:id="rId5"/>
    <sheet name="Crew Selector" sheetId="4" state="visible" r:id="rId6"/>
    <sheet name="Job Pricing" sheetId="5" state="visible" r:id="rId7"/>
    <sheet name="Summary" sheetId="6" state="visible" r:id="rId8"/>
    <sheet name="On-cost Helper" sheetId="7" state="visible" r:id="rId9"/>
    <sheet name="Worked example" sheetId="8" state="visible" r:id="rId10"/>
    <sheet name="What changed" sheetId="9" state="visible" r:id="rId11"/>
  </sheets>
  <definedNames>
    <definedName function="false" hidden="false" localSheetId="1" name="_xlnm.Print_Titles" vbProcedure="false">Inputs!$3:$3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<sst xmlns="http://schemas.openxmlformats.org/spreadsheetml/2006/main" count="557" uniqueCount="471">
  <si>
    <t xml:space="preserve">[COMPANY NAME]</t>
  </si>
  <si>
    <t xml:space="preserve">PRICING AND CHARGE-OUT RATE CALCULATOR</t>
  </si>
  <si>
    <t xml:space="preserve">ARB-FIN-01  ·  Version 2.0  ·  Issued [DD/MM/YYYY]  ·  Review [DD/MM/YYYY]  ·  Figures checked 27/09/2026</t>
  </si>
  <si>
    <t xml:space="preserve">AT A GLANCE</t>
  </si>
  <si>
    <t xml:space="preserve">What it is for</t>
  </si>
  <si>
    <t xml:space="preserve">Works out what your business costs to run per crew day, the day rate you need to charge to make the profit you want, and a price for each job.</t>
  </si>
  <si>
    <t xml:space="preserve">Who fills it in</t>
  </si>
  <si>
    <t xml:space="preserve">The owner or a Manager. Team Leaders can use the Crew Selector and Job Pricing tabs once the Inputs are set.</t>
  </si>
  <si>
    <t xml:space="preserve">When</t>
  </si>
  <si>
    <t xml:space="preserve">Set up once, then review the Inputs every year (after year end and each April, when pay, NI and pension rates change) or when a big cost changes, like a new vehicle.</t>
  </si>
  <si>
    <t xml:space="preserve">Time needed</t>
  </si>
  <si>
    <t xml:space="preserve">About 45–60 minutes to set up. About 5 minutes to price a job after that.</t>
  </si>
  <si>
    <t xml:space="preserve">You will need</t>
  </si>
  <si>
    <t xml:space="preserve">Last year’s accounts or bank statements, pay rates, subcontractor day rates, vehicle and plant finance figures, and your insurance renewal.</t>
  </si>
  <si>
    <t xml:space="preserve">Where it goes</t>
  </si>
  <si>
    <t xml:space="preserve">Keep the master on your shared drive with restricted access – it holds pay rates. Save a copy for each price review. Keep job copies with the quote.</t>
  </si>
  <si>
    <t xml:space="preserve">HOW TO USE IT – 6 STEPS</t>
  </si>
  <si>
    <t xml:space="preserve">1  Inputs tab</t>
  </si>
  <si>
    <t xml:space="preserve">Fill in the blue cells, top to bottom: working days, profit, VAT, your people, day-to-day running costs, yearly plant costs and overheads. Leave a cell blank if it does not apply.</t>
  </si>
  <si>
    <t xml:space="preserve">2  On-cost Helper (optional)</t>
  </si>
  <si>
    <t xml:space="preserve">For employees, this shows the employer NI, pension and holiday parts of the "employer on-cost %". Copy the guide figure into the Inputs tab if you want to use it.</t>
  </si>
  <si>
    <t xml:space="preserve">3  Crew Selector tab</t>
  </si>
  <si>
    <t xml:space="preserve">Choose "Yes" for each person on this job.</t>
  </si>
  <si>
    <t xml:space="preserve">4  Job Pricing tab</t>
  </si>
  <si>
    <t xml:space="preserve">Enter the days on the job and any extras (tipping, MEWP or crane hire, traffic management, permits, stump grinding, travel). The price appears at the bottom.</t>
  </si>
  <si>
    <t xml:space="preserve">5  Summary tab</t>
  </si>
  <si>
    <t xml:space="preserve">Check your break-even day rate. Type in the day rate you plan to charge and the sanity check tells you if it covers your costs and profit.</t>
  </si>
  <si>
    <t xml:space="preserve">6  Quote summary</t>
  </si>
  <si>
    <t xml:space="preserve">Copy the quote summary block at the bottom of Job Pricing into your quote form (ARB-SITE-001).</t>
  </si>
  <si>
    <t xml:space="preserve">COLOUR KEY</t>
  </si>
  <si>
    <t xml:space="preserve">Blue cells, blue text</t>
  </si>
  <si>
    <t xml:space="preserve">You type here. Drop-down lists appear where there is a set choice.</t>
  </si>
  <si>
    <t xml:space="preserve">Lavender cells</t>
  </si>
  <si>
    <t xml:space="preserve">Calculations. These are locked so they cannot be overwritten by mistake. To unlock: Review &gt; Unprotect Sheet (there is no password).</t>
  </si>
  <si>
    <t xml:space="preserve">Purple banners</t>
  </si>
  <si>
    <t xml:space="preserve">Sections, in the order you fill them in.</t>
  </si>
  <si>
    <t xml:space="preserve">Red text</t>
  </si>
  <si>
    <t xml:space="preserve">Something needs your attention, such as a missing choice or a price below break-even.</t>
  </si>
  <si>
    <t xml:space="preserve">THREE THINGS TO GET RIGHT</t>
  </si>
  <si>
    <t xml:space="preserve">Margin or markup</t>
  </si>
  <si>
    <t xml:space="preserve">They are not the same. A 20% MARGIN means 20p of every £1 you charge is profit (price = cost ÷ 0.8). A 20% MARKUP adds 20% to cost, which is only a 16.7% margin. Choose which you mean on the Inputs tab.</t>
  </si>
  <si>
    <t xml:space="preserve">Billable days</t>
  </si>
  <si>
    <t xml:space="preserve">You cannot bill every working day. Weather, breakdowns, quoting, training and travel all take time. Overheads (and employees’ pay on those days) are spread over the days you actually bill.</t>
  </si>
  <si>
    <t xml:space="preserve">Count each cost once</t>
  </si>
  <si>
    <t xml:space="preserve">Vehicle and chipper finance, depreciation, insurance and servicing go in the yearly Plant section. Only fuel and wear go in the per-day running costs. The notes on the Inputs tab show where each cost belongs.</t>
  </si>
  <si>
    <t xml:space="preserve">IMPORTANT</t>
  </si>
  <si>
    <t xml:space="preserve">Documentation support only</t>
  </si>
  <si>
    <t xml:space="preserve">Arborella Consultancy Ltd provides this template as documentation support only. It is not financial, tax or accounting advice. The results depend on the figures you enter. Check your prices, and the employer NI, pension and VAT settings, with your accountant.</t>
  </si>
  <si>
    <t xml:space="preserve">Rates in this file</t>
  </si>
  <si>
    <t xml:space="preserve">The employer NI, pension and holiday figures on the On-cost Helper tab were checked on GOV.UK on 27/09/2026 for the 2026/27 tax year. They change most Aprils – check them each year.</t>
  </si>
  <si>
    <t xml:space="preserve">Worked example</t>
  </si>
  <si>
    <t xml:space="preserve">The Worked example tab shows the calculator filled in with made-up figures. They are for illustration only and are not industry benchmarks.</t>
  </si>
  <si>
    <t xml:space="preserve">What changed</t>
  </si>
  <si>
    <t xml:space="preserve">The What changed tab lists the errors fixed in this version and why they matter.</t>
  </si>
  <si>
    <t xml:space="preserve">Support</t>
  </si>
  <si>
    <t xml:space="preserve">If you would like someone to go through the calculator with you, just ask.</t>
  </si>
  <si>
    <t xml:space="preserve">Blue input cell example</t>
  </si>
  <si>
    <t xml:space="preserve">Type here</t>
  </si>
  <si>
    <t xml:space="preserve">[COMPANY NAME] – Pricing Inputs</t>
  </si>
  <si>
    <t xml:space="preserve">Blue cells are editable. Everything else is calculated. Work top to bottom. Leave a cell blank if it does not apply. Percentages: type 20 or 20% for 20%.</t>
  </si>
  <si>
    <t xml:space="preserve">Category</t>
  </si>
  <si>
    <t xml:space="preserve">Item</t>
  </si>
  <si>
    <t xml:space="preserve">Value</t>
  </si>
  <si>
    <t xml:space="preserve">Notes</t>
  </si>
  <si>
    <t xml:space="preserve">1  GENERAL ASSUMPTIONS</t>
  </si>
  <si>
    <t xml:space="preserve">General</t>
  </si>
  <si>
    <t xml:space="preserve">Company name</t>
  </si>
  <si>
    <t xml:space="preserve">Shown on the quote summary. The name can run over two lines.</t>
  </si>
  <si>
    <t xml:space="preserve">Working days per year</t>
  </si>
  <si>
    <t xml:space="preserve">Days the crew is available for work after holidays and bank holidays. Example: 260 weekdays − 28 days’ holiday = 232. Many firms use 210–225 to allow for sickness and training.</t>
  </si>
  <si>
    <t xml:space="preserve">Hours per day</t>
  </si>
  <si>
    <t xml:space="preserve">Used to turn day rates into hourly rates.</t>
  </si>
  <si>
    <t xml:space="preserve">Billable utilisation %</t>
  </si>
  <si>
    <t xml:space="preserve">Share of working days you actually bill to clients. The rest is lost to weather, breakdowns, quoting, yard days and travel. 75% = 3 in every 4 days billed.</t>
  </si>
  <si>
    <t xml:space="preserve">Number of crews working at the same time</t>
  </si>
  <si>
    <t xml:space="preserve">Overheads are shared equally across crews. Most small firms: 1. Larger firms: enter the usual number of crews out each day.</t>
  </si>
  <si>
    <t xml:space="preserve">How do you want to add profit?</t>
  </si>
  <si>
    <t xml:space="preserve">Margin</t>
  </si>
  <si>
    <t xml:space="preserve">MARGIN = profit as a % of the price you charge (price = cost ÷ (1 − margin)). MARKUP = profit as a % of your cost (price = cost × (1 + markup)). A 20% markup is only a 16.7% margin.</t>
  </si>
  <si>
    <t xml:space="preserve">Target profit % (margin or markup, as chosen above)</t>
  </si>
  <si>
    <t xml:space="preserve">The Calcs tab shows the matching figure the other way round, for example 20% margin = 25% markup.</t>
  </si>
  <si>
    <t xml:space="preserve">Are you VAT registered?</t>
  </si>
  <si>
    <t xml:space="preserve">Choose Yes or No. Only charge VAT if you are registered. Ask your accountant if you are close to the VAT registration threshold.</t>
  </si>
  <si>
    <t xml:space="preserve">VAT rate %</t>
  </si>
  <si>
    <t xml:space="preserve">Standard rate is 20%. Only used if you answered Yes above.</t>
  </si>
  <si>
    <t xml:space="preserve">Spread employees’ non-billable days into their day cost?</t>
  </si>
  <si>
    <t xml:space="preserve">Yes</t>
  </si>
  <si>
    <t xml:space="preserve">Yes (recommended if you pay staff on days you cannot bill): employee cost per job day = daily cost ÷ utilisation. Choose No if staff are only paid on days worked. Subcontractors are never spread.</t>
  </si>
  <si>
    <t xml:space="preserve">Minimum job charge (£, before VAT)</t>
  </si>
  <si>
    <t xml:space="preserve">The least you will quote for any job, to cover travel, set-up and admin. Leave blank for no minimum.</t>
  </si>
  <si>
    <t xml:space="preserve">2  LABOUR – DAY RATES AND STATUS (up to 8 people)</t>
  </si>
  <si>
    <t xml:space="preserve">Use initials or job titles rather than full names if you share this file. Employee day rate = what you pay them for a day worked. Subcontractor day rate = what they invoice you. The employer on-cost % (NI, pension, holiday) applies to employees only – see the On-cost Helper tab for a guide figure.</t>
  </si>
  <si>
    <t xml:space="preserve">Person</t>
  </si>
  <si>
    <t xml:space="preserve">Name, initials or job title</t>
  </si>
  <si>
    <t xml:space="preserve">Role</t>
  </si>
  <si>
    <t xml:space="preserve">Type</t>
  </si>
  <si>
    <t xml:space="preserve">Day rate (£)</t>
  </si>
  <si>
    <t xml:space="preserve">Employer on-cost %</t>
  </si>
  <si>
    <t xml:space="preserve">Daily cost (£)</t>
  </si>
  <si>
    <t xml:space="preserve">Person 1</t>
  </si>
  <si>
    <t xml:space="preserve">Person 2</t>
  </si>
  <si>
    <t xml:space="preserve">Person 3</t>
  </si>
  <si>
    <t xml:space="preserve">Person 4</t>
  </si>
  <si>
    <t xml:space="preserve">Person 5</t>
  </si>
  <si>
    <t xml:space="preserve">Person 6</t>
  </si>
  <si>
    <t xml:space="preserve">Person 7</t>
  </si>
  <si>
    <t xml:space="preserve">Person 8</t>
  </si>
  <si>
    <t xml:space="preserve">3  ON-SITE RUNNING COSTS (PER DAY ON SITE)</t>
  </si>
  <si>
    <t xml:space="preserve">WARNING – count each cost once. Only put FUEL, CONSUMABLES AND WEAR here. Finance, lease, depreciation, insurance, road tax and servicing belong in section 4 (yearly plant costs). Putting them in both places doubles the cost and over-prices every job.</t>
  </si>
  <si>
    <t xml:space="preserve">On-site</t>
  </si>
  <si>
    <t xml:space="preserve">Vehicle running cost per day (£)</t>
  </si>
  <si>
    <t xml:space="preserve">Fuel, tyres and wear for a typical day. Not finance, insurance or servicing (section 4).</t>
  </si>
  <si>
    <t xml:space="preserve">Chipper running cost per day (£)</t>
  </si>
  <si>
    <t xml:space="preserve">Fuel, knives or blades, and wear for a typical day. Not finance, depreciation or planned replacement (section 4).</t>
  </si>
  <si>
    <t xml:space="preserve">Other running costs per day (£)</t>
  </si>
  <si>
    <t xml:space="preserve">For example saw fuel, chain oil, chains, fixings, cones. Leave blank if you include these in overheads.</t>
  </si>
  <si>
    <t xml:space="preserve">4  PLANT AND MACHINERY – YEARLY OWNERSHIP COSTS</t>
  </si>
  <si>
    <t xml:space="preserve">Plant</t>
  </si>
  <si>
    <t xml:space="preserve">Vehicle(s) – yearly cost (£)</t>
  </si>
  <si>
    <t xml:space="preserve">Finance or lease payments, or depreciation if you own outright, plus insurance, road tax, servicing and MOT. Per crew vehicle(s).</t>
  </si>
  <si>
    <t xml:space="preserve">Chipper – yearly cost (£)</t>
  </si>
  <si>
    <t xml:space="preserve">Finance or depreciation, planned replacement, insurance and servicing.</t>
  </si>
  <si>
    <t xml:space="preserve">Other plant and tools – yearly cost (£)</t>
  </si>
  <si>
    <t xml:space="preserve">Saws, blowers, stump grinder, trailers, climbing and rigging kit, LOLER thorough examinations. Job-specific hire (MEWP, crane) goes on the Job Pricing tab instead.</t>
  </si>
  <si>
    <t xml:space="preserve">Your version 1 had one line, "Chipper &amp; Vehicle (annual cost)". It is now split into the first two lines above.</t>
  </si>
  <si>
    <t xml:space="preserve">5  OVERHEADS – YEARLY</t>
  </si>
  <si>
    <t xml:space="preserve">Overheads</t>
  </si>
  <si>
    <t xml:space="preserve">Insurance (all) (£)</t>
  </si>
  <si>
    <t xml:space="preserve">Public liability, employers’ liability, tools, professional indemnity. If vehicle or plant insurance is already in section 4, leave it out here.</t>
  </si>
  <si>
    <t xml:space="preserve">Fuel (non-job specific) (£)</t>
  </si>
  <si>
    <t xml:space="preserve">General fuel not already in the per-day running costs, such as quoting visits and yard runs.</t>
  </si>
  <si>
    <t xml:space="preserve">Repairs &amp; maintenance (yearly) (£)</t>
  </si>
  <si>
    <t xml:space="preserve">Vehicle and plant repairs not in section 4 servicing.</t>
  </si>
  <si>
    <t xml:space="preserve">PPE &amp; clothing (£)</t>
  </si>
  <si>
    <t xml:space="preserve">Helmets, chainsaw trousers and boots, gloves, eye and ear protection, hi-vis.</t>
  </si>
  <si>
    <t xml:space="preserve">Training &amp; certificates (£)</t>
  </si>
  <si>
    <t xml:space="preserve">NPTC/LANTRA tickets, first aid, aerial rescue, refreshers, CPD.</t>
  </si>
  <si>
    <t xml:space="preserve">Waste disposal/tipping (£)</t>
  </si>
  <si>
    <t xml:space="preserve">Yearly tipping not charged to jobs. If you add tipping per job on the Job Pricing tab, leave that part out here.</t>
  </si>
  <si>
    <t xml:space="preserve">Yard/compound rent &amp; utilities (£)</t>
  </si>
  <si>
    <t xml:space="preserve">Rent, electricity, water, business rates.</t>
  </si>
  <si>
    <t xml:space="preserve">Mobile phones &amp; data (£)</t>
  </si>
  <si>
    <t xml:space="preserve">Team phones, SIMs, tablets.</t>
  </si>
  <si>
    <t xml:space="preserve">Software/subscriptions (£)</t>
  </si>
  <si>
    <t xml:space="preserve">Job management, accounting, cloud storage, tracking.</t>
  </si>
  <si>
    <t xml:space="preserve">Accountancy &amp; legal (£)</t>
  </si>
  <si>
    <t xml:space="preserve">Year-end accounts, payroll bureau, legal and HR advice.</t>
  </si>
  <si>
    <t xml:space="preserve">Marketing &amp; sales (£)</t>
  </si>
  <si>
    <t xml:space="preserve">Website, adverts, leaflets, vehicle signwriting.</t>
  </si>
  <si>
    <t xml:space="preserve">Admin/office costs (£)</t>
  </si>
  <si>
    <t xml:space="preserve">Stationery, postage, bank charges.</t>
  </si>
  <si>
    <t xml:space="preserve">Non-billable wages (new) (£)</t>
  </si>
  <si>
    <t xml:space="preserve">Office, admin or estimator wages, and the owner’s pay if the owner is not on the tools. These are real costs that jobs must pay for.</t>
  </si>
  <si>
    <t xml:space="preserve">Other overheads (new) (£)</t>
  </si>
  <si>
    <t xml:space="preserve">Accreditation fees (for example CHAS, SafeContractor, Constructionline), memberships, waste carrier registration, anything else.</t>
  </si>
  <si>
    <t xml:space="preserve">Contingency (yearly) (£)</t>
  </si>
  <si>
    <t xml:space="preserve">Buffer for surprises. Job-level contingency is separate, on the Job Pricing tab.</t>
  </si>
  <si>
    <t xml:space="preserve">Total yearly overheads (£)</t>
  </si>
  <si>
    <t xml:space="preserve">Calculated.</t>
  </si>
  <si>
    <t xml:space="preserve">Calculated values (do not edit)</t>
  </si>
  <si>
    <t xml:space="preserve">Everything on this tab is worked out from the Inputs tab. It is locked so it cannot be changed by mistake.</t>
  </si>
  <si>
    <t xml:space="preserve">Value 2</t>
  </si>
  <si>
    <t xml:space="preserve">How it is worked out</t>
  </si>
  <si>
    <t xml:space="preserve">DAYS AND HOURS</t>
  </si>
  <si>
    <t xml:space="preserve">Working days/year</t>
  </si>
  <si>
    <t xml:space="preserve">From Inputs.</t>
  </si>
  <si>
    <t xml:space="preserve">Hours/day</t>
  </si>
  <si>
    <t xml:space="preserve">Utilisation %</t>
  </si>
  <si>
    <t xml:space="preserve">Crews at the same time</t>
  </si>
  <si>
    <t xml:space="preserve">From Inputs (minimum 1).</t>
  </si>
  <si>
    <t xml:space="preserve">Billable days per crew per year</t>
  </si>
  <si>
    <t xml:space="preserve">Working days × utilisation. Overheads are recovered over these days.</t>
  </si>
  <si>
    <t xml:space="preserve">Billable hours per crew per year</t>
  </si>
  <si>
    <t xml:space="preserve">Billable days × hours per day.</t>
  </si>
  <si>
    <t xml:space="preserve">PROFIT</t>
  </si>
  <si>
    <t xml:space="preserve">Profit method</t>
  </si>
  <si>
    <t xml:space="preserve">From Inputs. If left blank, margin is used.</t>
  </si>
  <si>
    <t xml:space="preserve">Target profit %</t>
  </si>
  <si>
    <t xml:space="preserve">Price multiplier (price ÷ cost)</t>
  </si>
  <si>
    <t xml:space="preserve">Margin: 1 ÷ (1 − margin). Markup: 1 + markup. Version 1 used 1 + % for both, which gave a lower margin than intended.</t>
  </si>
  <si>
    <t xml:space="preserve">Same as a margin of</t>
  </si>
  <si>
    <t xml:space="preserve">Profit ÷ price.</t>
  </si>
  <si>
    <t xml:space="preserve">Same as a markup of</t>
  </si>
  <si>
    <t xml:space="preserve">Profit ÷ cost.</t>
  </si>
  <si>
    <t xml:space="preserve">VAT</t>
  </si>
  <si>
    <t xml:space="preserve">VAT registered?</t>
  </si>
  <si>
    <t xml:space="preserve">From Inputs. Choose Yes or No there.</t>
  </si>
  <si>
    <t xml:space="preserve">VAT multiplier</t>
  </si>
  <si>
    <t xml:space="preserve">1.20 if registered at 20%. 1.00 if not registered (or not chosen yet).</t>
  </si>
  <si>
    <t xml:space="preserve">LABOUR – DAILY COST PER PERSON</t>
  </si>
  <si>
    <t xml:space="preserve">Person (linked to the Inputs name)</t>
  </si>
  <si>
    <t xml:space="preserve">Cost per job day (£)</t>
  </si>
  <si>
    <t xml:space="preserve">Employee: day rate × (1 + on-cost %), then ÷ utilisation if spreading is on. Subcontractor: day rate.</t>
  </si>
  <si>
    <t xml:space="preserve">On-site running cost per day</t>
  </si>
  <si>
    <t xml:space="preserve">Vehicle + chipper + other running costs (fuel, consumables, wear).</t>
  </si>
  <si>
    <t xml:space="preserve">YEARLY TOTALS</t>
  </si>
  <si>
    <t xml:space="preserve">Plant and machinery (yearly)</t>
  </si>
  <si>
    <t xml:space="preserve">Vehicle + chipper + other plant ownership costs.</t>
  </si>
  <si>
    <t xml:space="preserve">Overheads (yearly)</t>
  </si>
  <si>
    <t xml:space="preserve">All overhead lines on Inputs.</t>
  </si>
  <si>
    <t xml:space="preserve">Total yearly overhead + plant</t>
  </si>
  <si>
    <t xml:space="preserve">Plant + overheads.</t>
  </si>
  <si>
    <t xml:space="preserve">Share per crew</t>
  </si>
  <si>
    <t xml:space="preserve">Total ÷ number of crews.</t>
  </si>
  <si>
    <t xml:space="preserve">OVERHEAD + PLANT RECOVERY (PER CREW)</t>
  </si>
  <si>
    <t xml:space="preserve">Per month</t>
  </si>
  <si>
    <t xml:space="preserve">Share per crew ÷ 12.</t>
  </si>
  <si>
    <t xml:space="preserve">Per week</t>
  </si>
  <si>
    <t xml:space="preserve">Share per crew ÷ 52.</t>
  </si>
  <si>
    <t xml:space="preserve">Per working day (for reference only)</t>
  </si>
  <si>
    <t xml:space="preserve">Version 1 used this in Job Pricing. It under-recovers, because not every working day is billed.</t>
  </si>
  <si>
    <t xml:space="preserve">Per billable day – USED FOR PRICING</t>
  </si>
  <si>
    <t xml:space="preserve">Share per crew ÷ billable days. Used on both Summary and Job Pricing.</t>
  </si>
  <si>
    <t xml:space="preserve">Per billable hour</t>
  </si>
  <si>
    <t xml:space="preserve">Per billable day ÷ hours per day.</t>
  </si>
  <si>
    <t xml:space="preserve">Crew Builder – select who is on the job</t>
  </si>
  <si>
    <t xml:space="preserve">Choose "Yes" for each person on this job. Names, roles and costs come from the Inputs tab.</t>
  </si>
  <si>
    <t xml:space="preserve">Include?</t>
  </si>
  <si>
    <t xml:space="preserve">No</t>
  </si>
  <si>
    <t xml:space="preserve">Number of people selected</t>
  </si>
  <si>
    <t xml:space="preserve">Selected crew labour cost per job day</t>
  </si>
  <si>
    <t xml:space="preserve">Add on-site running costs (vehicle, chipper, other)</t>
  </si>
  <si>
    <t xml:space="preserve">TOTAL daily delivery cost (crew + on-site)</t>
  </si>
  <si>
    <t xml:space="preserve">"Daily cost" is the cost of a day worked. "Cost per job day" also covers employees’ paid non-billable days, if spreading is switched on in Inputs. Overheads are added on the Job Pricing and Summary tabs.</t>
  </si>
  <si>
    <t xml:space="preserve">Job Pricing (based on the selected crew)</t>
  </si>
  <si>
    <t xml:space="preserve">Enter the days and any extras in the blue cells. All money figures are before VAT unless they say otherwise.</t>
  </si>
  <si>
    <t xml:space="preserve">1  CREW TIME</t>
  </si>
  <si>
    <t xml:space="preserve">Days on job</t>
  </si>
  <si>
    <t xml:space="preserve">Crew days on site, for example 0.5, 1, 2 or 3.</t>
  </si>
  <si>
    <t xml:space="preserve">Daily delivery cost (crew + on-site)</t>
  </si>
  <si>
    <t xml:space="preserve">From Crew Selector.</t>
  </si>
  <si>
    <t xml:space="preserve">Direct job cost (crew + on-site)</t>
  </si>
  <si>
    <t xml:space="preserve">Days × daily delivery cost.</t>
  </si>
  <si>
    <t xml:space="preserve">Overhead + plant per billable day</t>
  </si>
  <si>
    <t xml:space="preserve">Yearly overhead + plant ÷ billable days (the same figure the Summary uses).</t>
  </si>
  <si>
    <t xml:space="preserve">Overhead + plant for this job</t>
  </si>
  <si>
    <t xml:space="preserve">Days × overhead per billable day.</t>
  </si>
  <si>
    <t xml:space="preserve">Job cost (crew + on-site + overhead)</t>
  </si>
  <si>
    <t xml:space="preserve">Break-even cost before extras.</t>
  </si>
  <si>
    <t xml:space="preserve">2  JOB-SPECIFIC EXTRAS (your cost, before VAT)</t>
  </si>
  <si>
    <t xml:space="preserve">Tipping / waste disposal</t>
  </si>
  <si>
    <t xml:space="preserve">Green waste, timber or skip costs for this job. If you use this, leave job tipping out of yearly overheads.</t>
  </si>
  <si>
    <t xml:space="preserve">MEWP hire</t>
  </si>
  <si>
    <t xml:space="preserve">Including delivery, collection and operator if hired with one.</t>
  </si>
  <si>
    <t xml:space="preserve">Crane hire</t>
  </si>
  <si>
    <t xml:space="preserve">Including appointed person or lift supervisor if charged.</t>
  </si>
  <si>
    <t xml:space="preserve">Traffic management</t>
  </si>
  <si>
    <t xml:space="preserve">Signs, lights, TM crew, as set out in your traffic management plan.</t>
  </si>
  <si>
    <t xml:space="preserve">Permits and licences</t>
  </si>
  <si>
    <t xml:space="preserve">For example highway permits or road-space bookings, or parking suspensions. Use the actual fee.</t>
  </si>
  <si>
    <t xml:space="preserve">Stump grinding</t>
  </si>
  <si>
    <t xml:space="preserve">Subcontractor price, or extra grinder time not covered by the crew days above.</t>
  </si>
  <si>
    <t xml:space="preserve">Travel</t>
  </si>
  <si>
    <t xml:space="preserve">Extra mileage, travel time or accommodation for distant jobs.</t>
  </si>
  <si>
    <t xml:space="preserve">Other</t>
  </si>
  <si>
    <t xml:space="preserve">Anything else specific to this job.</t>
  </si>
  <si>
    <t xml:space="preserve">Total extras</t>
  </si>
  <si>
    <t xml:space="preserve">Sum of the extras above.</t>
  </si>
  <si>
    <t xml:space="preserve">Add profit to extras?</t>
  </si>
  <si>
    <t xml:space="preserve">Yes: extras carry your profit % like everything else. No: extras are passed on at cost.</t>
  </si>
  <si>
    <t xml:space="preserve">Job contingency %</t>
  </si>
  <si>
    <t xml:space="preserve">Allowance for the unknown on this job, such as access or hidden defects. Applied to job cost plus extras.</t>
  </si>
  <si>
    <t xml:space="preserve">Contingency (£)</t>
  </si>
  <si>
    <t xml:space="preserve">(Job cost + extras) × contingency %.</t>
  </si>
  <si>
    <t xml:space="preserve">Total job cost (break-even)</t>
  </si>
  <si>
    <t xml:space="preserve">Job cost + extras + contingency. Charging this makes no profit.</t>
  </si>
  <si>
    <t xml:space="preserve">3  PRICE</t>
  </si>
  <si>
    <t xml:space="preserve">Profit method and target</t>
  </si>
  <si>
    <t xml:space="preserve">Set on the Inputs tab.</t>
  </si>
  <si>
    <t xml:space="preserve">Calculated price</t>
  </si>
  <si>
    <t xml:space="preserve">Cost × price multiplier. Margin: cost ÷ (1 − margin). Markup: cost × (1 + markup).</t>
  </si>
  <si>
    <t xml:space="preserve">Minimum job charge</t>
  </si>
  <si>
    <t xml:space="preserve">SELL PRICE (before VAT)</t>
  </si>
  <si>
    <t xml:space="preserve">The higher of the calculated price and your minimum charge.</t>
  </si>
  <si>
    <t xml:space="preserve">Minimum charge applied?</t>
  </si>
  <si>
    <t xml:space="preserve">Shows Yes when the job is small enough that the minimum charge applies.</t>
  </si>
  <si>
    <t xml:space="preserve">SELL PRICE (including any VAT)</t>
  </si>
  <si>
    <t xml:space="preserve">The total the client pays.</t>
  </si>
  <si>
    <t xml:space="preserve">4  PROFIT CHECK</t>
  </si>
  <si>
    <t xml:space="preserve">Profit on this job (£)</t>
  </si>
  <si>
    <t xml:space="preserve">Sell price before VAT − total job cost.</t>
  </si>
  <si>
    <t xml:space="preserve">Margin achieved (profit ÷ price)</t>
  </si>
  <si>
    <t xml:space="preserve">Compare with your target on the Inputs tab.</t>
  </si>
  <si>
    <t xml:space="preserve">Markup achieved (profit ÷ cost)</t>
  </si>
  <si>
    <t xml:space="preserve">The same profit shown as a % of cost.</t>
  </si>
  <si>
    <t xml:space="preserve">Price per crew day (before VAT)</t>
  </si>
  <si>
    <t xml:space="preserve">Useful to compare with your day rate on the Summary tab.</t>
  </si>
  <si>
    <t xml:space="preserve">5  QUOTE SUMMARY – copy into your quote form (ARB-SITE-001)</t>
  </si>
  <si>
    <t xml:space="preserve">Quote reference</t>
  </si>
  <si>
    <t xml:space="preserve">Your quote number.</t>
  </si>
  <si>
    <t xml:space="preserve">Client</t>
  </si>
  <si>
    <t xml:space="preserve">Client name.</t>
  </si>
  <si>
    <t xml:space="preserve">Site</t>
  </si>
  <si>
    <t xml:space="preserve">Site address or postcode.</t>
  </si>
  <si>
    <t xml:space="preserve">Description of works</t>
  </si>
  <si>
    <t xml:space="preserve">Quote valid for (days)</t>
  </si>
  <si>
    <t xml:space="preserve">How long the price stands.</t>
  </si>
  <si>
    <t xml:space="preserve">Estimated time on site</t>
  </si>
  <si>
    <t xml:space="preserve">Price (before VAT)</t>
  </si>
  <si>
    <t xml:space="preserve">Total price</t>
  </si>
  <si>
    <t xml:space="preserve">Copy-ready line</t>
  </si>
  <si>
    <t xml:space="preserve">Keep the cost breakdown above internal. The quote summary shows only what the client needs to see.</t>
  </si>
  <si>
    <t xml:space="preserve">Summary – Break-Even and Charge-Out Rates</t>
  </si>
  <si>
    <t xml:space="preserve">For the crew selected on the Crew Selector tab. Break-even = what it costs you. Charge-out = break-even plus your target profit (Inputs).</t>
  </si>
  <si>
    <t xml:space="preserve">Metric</t>
  </si>
  <si>
    <t xml:space="preserve">Break-even (£)</t>
  </si>
  <si>
    <t xml:space="preserve">Charge-out with profit (£)</t>
  </si>
  <si>
    <t xml:space="preserve">CREW + ON-SITE (DIRECT COSTS)</t>
  </si>
  <si>
    <t xml:space="preserve">Selected crew + on-site (per job day)</t>
  </si>
  <si>
    <t xml:space="preserve">Selected crew + on-site (per 5-day week)</t>
  </si>
  <si>
    <t xml:space="preserve">5 job days.</t>
  </si>
  <si>
    <t xml:space="preserve">Selected crew + on-site (per month)</t>
  </si>
  <si>
    <t xml:space="preserve">Billable days per year ÷ 12.</t>
  </si>
  <si>
    <t xml:space="preserve">Selected crew + on-site (per hour on site)</t>
  </si>
  <si>
    <t xml:space="preserve">Per job day ÷ hours per day.</t>
  </si>
  <si>
    <t xml:space="preserve">OVERHEAD + PLANT</t>
  </si>
  <si>
    <t xml:space="preserve">Same figure as Job Pricing.</t>
  </si>
  <si>
    <t xml:space="preserve">Overhead + plant per billable hour</t>
  </si>
  <si>
    <t xml:space="preserve">TOTAL – TEAM + ON-SITE + OVERHEAD</t>
  </si>
  <si>
    <t xml:space="preserve">TOTAL per day (day rate)</t>
  </si>
  <si>
    <t xml:space="preserve">Your break-even day rate and target day rate for this crew.</t>
  </si>
  <si>
    <t xml:space="preserve">TOTAL per 5-day week</t>
  </si>
  <si>
    <t xml:space="preserve">TOTAL per hour</t>
  </si>
  <si>
    <t xml:space="preserve">Per day ÷ hours per day.</t>
  </si>
  <si>
    <t xml:space="preserve">TOTAL charge-out per day (including any VAT)</t>
  </si>
  <si>
    <t xml:space="preserve">VAT only added if VAT registered.</t>
  </si>
  <si>
    <t xml:space="preserve">TOTAL charge-out per hour (including any VAT)</t>
  </si>
  <si>
    <t xml:space="preserve">DAY-RATE SANITY CHECK</t>
  </si>
  <si>
    <t xml:space="preserve">Day rate you plan to charge this crew out at (£, before VAT)</t>
  </si>
  <si>
    <t xml:space="preserve">Type the day rate you quote now, or plan to. Leave blank to skip this check.</t>
  </si>
  <si>
    <t xml:space="preserve">Break-even day rate</t>
  </si>
  <si>
    <t xml:space="preserve">Charging less than this loses money on every day.</t>
  </si>
  <si>
    <t xml:space="preserve">Target day rate (with your profit)</t>
  </si>
  <si>
    <t xml:space="preserve">Break-even × price multiplier.</t>
  </si>
  <si>
    <t xml:space="preserve">Difference from break-even (£ per day)</t>
  </si>
  <si>
    <t xml:space="preserve">Positive = profit per day.</t>
  </si>
  <si>
    <t xml:space="preserve">Margin you would actually make</t>
  </si>
  <si>
    <t xml:space="preserve">Profit (or loss) per crew per year at this rate</t>
  </si>
  <si>
    <t xml:space="preserve">Difference × billable days per year. Assumes this crew make-up all year.</t>
  </si>
  <si>
    <t xml:space="preserve">Result</t>
  </si>
  <si>
    <t xml:space="preserve">DOUBLE-COUNTING CHECK – VEHICLE AND CHIPPER</t>
  </si>
  <si>
    <t xml:space="preserve">Yearly ownership costs (Inputs section 4, vehicle + chipper)</t>
  </si>
  <si>
    <t xml:space="preserve">Finance, depreciation, insurance, servicing.</t>
  </si>
  <si>
    <t xml:space="preserve">Yearly running costs (per-day running × billable days × crews)</t>
  </si>
  <si>
    <t xml:space="preserve">Fuel, consumables and wear only.</t>
  </si>
  <si>
    <t xml:space="preserve">Look at both lines. If the running-cost line includes finance, lease or depreciation, you are counting it twice – take it out of the per-day figures on the Inputs tab.</t>
  </si>
  <si>
    <t xml:space="preserve">Employer On-cost Helper (optional) – a GUIDE only</t>
  </si>
  <si>
    <t xml:space="preserve">Shows the parts that make up the "employer on-cost %" for each employee: employer NI, minimum pension and paid holiday. It is a simplified yearly estimate. Check the result with your accountant or payroll provider before you rely on it.</t>
  </si>
  <si>
    <t xml:space="preserve">Rate (2026/27)</t>
  </si>
  <si>
    <t xml:space="preserve">Source and notes</t>
  </si>
  <si>
    <t xml:space="preserve">Employer Class 1 NI rate</t>
  </si>
  <si>
    <t xml:space="preserve">GOV.UK "Rates and thresholds for employers 2026 to 2027", checked 27/09/2026.</t>
  </si>
  <si>
    <t xml:space="preserve">Secondary threshold (per year)</t>
  </si>
  <si>
    <t xml:space="preserve">GOV.UK, as above (£96 a week, £417 a month). Checked 27/09/2026.</t>
  </si>
  <si>
    <t xml:space="preserve">Minimum employer pension contribution</t>
  </si>
  <si>
    <t xml:space="preserve">GOV.UK "Workplace pensions – what you, your employer and the government pay": employer 3%, total 8%. Checked 27/09/2026.</t>
  </si>
  <si>
    <t xml:space="preserve">Pension qualifying earnings – lower limit (per year)</t>
  </si>
  <si>
    <t xml:space="preserve">DWP review of the automatic enrolment thresholds for 2026/27 (frozen). Checked 27/09/2026.</t>
  </si>
  <si>
    <t xml:space="preserve">Pension qualifying earnings – upper limit (per year)</t>
  </si>
  <si>
    <t xml:space="preserve">As above.</t>
  </si>
  <si>
    <t xml:space="preserve">Auto-enrolment earnings trigger (per year)</t>
  </si>
  <si>
    <t xml:space="preserve">As above. Staff earning less are not auto-enrolled, but can ask to join – you may then have to pay in.</t>
  </si>
  <si>
    <t xml:space="preserve">Statutory holiday – full-time, 5 days a week (days)</t>
  </si>
  <si>
    <t xml:space="preserve">GOV.UK "Holiday entitlement": 5.6 weeks (28 days). Bank holidays can be included. Checked 27/09/2026.</t>
  </si>
  <si>
    <t xml:space="preserve">Not included: Employment Allowance (up to £10,500 for 2026/27 for eligible employers – it can reduce your NI bill a lot), NI relief for under-21s and apprentices under 25, pay-period NI calculations, sick pay, and schemes that pay pension on full pay. Blue cells can be updated when rates change each April.</t>
  </si>
  <si>
    <t xml:space="preserve">Pay per day worked (£)</t>
  </si>
  <si>
    <t xml:space="preserve">Paid holiday days a year</t>
  </si>
  <si>
    <t xml:space="preserve">Yearly gross pay – optional override (£)</t>
  </si>
  <si>
    <t xml:space="preserve">Yearly gross pay used (£)</t>
  </si>
  <si>
    <t xml:space="preserve">Employer NI (£)</t>
  </si>
  <si>
    <t xml:space="preserve">Employer pension (£)</t>
  </si>
  <si>
    <t xml:space="preserve">Holiday pay (£)</t>
  </si>
  <si>
    <t xml:space="preserve">Pay for days worked (£)</t>
  </si>
  <si>
    <t xml:space="preserve">NI %</t>
  </si>
  <si>
    <t xml:space="preserve">Pension %</t>
  </si>
  <si>
    <t xml:space="preserve">Holiday %</t>
  </si>
  <si>
    <t xml:space="preserve">GUIDE on-cost % – copy to Inputs</t>
  </si>
  <si>
    <t xml:space="preserve">How it works: yearly pay = pay per day × (working days + paid holiday days), unless you enter an override. NI = (pay − secondary threshold) × NI rate. Pension = (pay between the lower and upper limits) × employer rate, if pay is at or above the trigger. Holiday pay = the share of yearly pay for holiday days. Each part is shown as a % of the pay for days worked, because that is what the Inputs day rate represents. Working days come from the Inputs tab – they should already exclude holidays.</t>
  </si>
  <si>
    <t xml:space="preserve">GUIDE ONLY – not payroll or tax advice. Check with your accountant. This helper does not change the Inputs tab: copy the figure across yourself if you want to use it.</t>
  </si>
  <si>
    <t xml:space="preserve">Worked example – made-up figures</t>
  </si>
  <si>
    <t xml:space="preserve">These are made-up figures to show how the calculator works. They are NOT industry benchmarks. The results were produced by this workbook. Your own results will differ.</t>
  </si>
  <si>
    <t xml:space="preserve">Example value</t>
  </si>
  <si>
    <t xml:space="preserve">What it shows</t>
  </si>
  <si>
    <t xml:space="preserve">MARGIN OR MARKUP? – £1,000 OF COST (live)</t>
  </si>
  <si>
    <t xml:space="preserve">Job cost (£)</t>
  </si>
  <si>
    <t xml:space="preserve">Change this to try your own figure.</t>
  </si>
  <si>
    <t xml:space="preserve">Profit %</t>
  </si>
  <si>
    <t xml:space="preserve">Version 1 method: cost × (1 + profit %)</t>
  </si>
  <si>
    <t xml:space="preserve">With £1,000 and 20%: profit £200 on a £1,200 price.</t>
  </si>
  <si>
    <t xml:space="preserve">   …margin actually made</t>
  </si>
  <si>
    <t xml:space="preserve">Only 16.7% – not the 20% the label promised.</t>
  </si>
  <si>
    <t xml:space="preserve">Margin method: cost ÷ (1 − profit %)</t>
  </si>
  <si>
    <t xml:space="preserve">With £1,000 and 20%: profit £250 on a £1,250 price.</t>
  </si>
  <si>
    <t xml:space="preserve">A true 20% margin. On £100,000 of costs a year the difference is £5,000 of profit.</t>
  </si>
  <si>
    <t xml:space="preserve">EXAMPLE INPUTS (from a test run)</t>
  </si>
  <si>
    <t xml:space="preserve">After holidays and bank holidays.</t>
  </si>
  <si>
    <t xml:space="preserve">3 in every 4 working days billed – 165 billable days.</t>
  </si>
  <si>
    <t xml:space="preserve">20% margin</t>
  </si>
  <si>
    <t xml:space="preserve">Price = cost ÷ 0.8.</t>
  </si>
  <si>
    <t xml:space="preserve">VAT at 20%.</t>
  </si>
  <si>
    <t xml:space="preserve">Climber A – employee, pay per day</t>
  </si>
  <si>
    <t xml:space="preserve">On-cost 30.2% from the On-cost Helper.</t>
  </si>
  <si>
    <t xml:space="preserve">Ground B – employee, pay per day</t>
  </si>
  <si>
    <t xml:space="preserve">On-cost 29.3% from the On-cost Helper.</t>
  </si>
  <si>
    <t xml:space="preserve">Sub climber C – subcontractor day rate</t>
  </si>
  <si>
    <t xml:space="preserve">No on-cost, not spread.</t>
  </si>
  <si>
    <t xml:space="preserve">Running costs per day (vehicle £35, chipper £25, other £10)</t>
  </si>
  <si>
    <t xml:space="preserve">Plant – yearly (vehicle £9,000, chipper £6,000, other £3,000)</t>
  </si>
  <si>
    <t xml:space="preserve">Overheads – yearly</t>
  </si>
  <si>
    <t xml:space="preserve">Including £8,000 non-billable office wages.</t>
  </si>
  <si>
    <t xml:space="preserve">Job: days on site</t>
  </si>
  <si>
    <t xml:space="preserve">Crew of 3 (A, B and C).</t>
  </si>
  <si>
    <t xml:space="preserve">Job extras (tipping £120, stump grinding £150, travel £40)</t>
  </si>
  <si>
    <t xml:space="preserve">Profit added to extras.</t>
  </si>
  <si>
    <t xml:space="preserve">Job contingency</t>
  </si>
  <si>
    <t xml:space="preserve">Planned day rate (for the sanity check)</t>
  </si>
  <si>
    <t xml:space="preserve">EXAMPLE RESULTS</t>
  </si>
  <si>
    <t xml:space="preserve">Employer on-cost guide – Climber A</t>
  </si>
  <si>
    <t xml:space="preserve">NI £4,830 + pension £929 + holiday £4,200 a year.</t>
  </si>
  <si>
    <t xml:space="preserve">£51,900 ÷ 165 billable days.</t>
  </si>
  <si>
    <t xml:space="preserve">Version 1 figure (per working day)</t>
  </si>
  <si>
    <t xml:space="preserve">£51,900 ÷ 220 – would miss £12,975 a year.</t>
  </si>
  <si>
    <t xml:space="preserve">Crew + on-site cost per job day</t>
  </si>
  <si>
    <t xml:space="preserve">Employees’ cost spread over billable days.</t>
  </si>
  <si>
    <t xml:space="preserve">Crew + on-site + overhead.</t>
  </si>
  <si>
    <t xml:space="preserve">TARGET DAY RATE (20% MARGIN)</t>
  </si>
  <si>
    <t xml:space="preserve">Break-even ÷ 0.8.</t>
  </si>
  <si>
    <t xml:space="preserve">Margin made at a £1,100 day rate</t>
  </si>
  <si>
    <t xml:space="preserve">Covers your costs, but £204 per day short of your target profit.</t>
  </si>
  <si>
    <t xml:space="preserve">Includes extras and 5% contingency.</t>
  </si>
  <si>
    <t xml:space="preserve">Sell price (before VAT)</t>
  </si>
  <si>
    <t xml:space="preserve">Margin achieved: 20.0%.</t>
  </si>
  <si>
    <t xml:space="preserve">Sell price (including VAT)</t>
  </si>
  <si>
    <t xml:space="preserve">To see this in the live calculator, type the example inputs into the blue cells. Clear them again before you use your own figures.</t>
  </si>
  <si>
    <t xml:space="preserve">What changed in version 2.0</t>
  </si>
  <si>
    <t xml:space="preserve">Errors found in version 1 and how they were fixed, then the improvements. Figures in examples are made up.</t>
  </si>
  <si>
    <t xml:space="preserve">#</t>
  </si>
  <si>
    <t xml:space="preserve">What was wrong in version 1</t>
  </si>
  <si>
    <t xml:space="preserve">Why it matters</t>
  </si>
  <si>
    <t xml:space="preserve">1</t>
  </si>
  <si>
    <t xml:space="preserve">"Target profit margin %" was applied as a markup: cost × 1.2.</t>
  </si>
  <si>
    <t xml:space="preserve">A markup is not a margin. £1,000 cost × 1.2 = £1,200 price, so profit £200 is 16.7% of the price – not 20%. A true 20% margin needs £1,000 ÷ 0.8 = £1,250 (profit £250). On £100,000 of costs a year that is £5,000 less profit than intended.</t>
  </si>
  <si>
    <t xml:space="preserve">New choice on Inputs: Margin or Markup. Margin: price = cost ÷ (1 − margin). Markup: price = cost × (1 + markup). The Calcs tab shows the matching figure the other way round (20% margin = 25% markup).</t>
  </si>
  <si>
    <t xml:space="preserve">2</t>
  </si>
  <si>
    <t xml:space="preserve">Overheads were recovered in two different ways. Summary divided by utilisation; Job Pricing used every working day.</t>
  </si>
  <si>
    <t xml:space="preserve">Job Pricing under-recovered overheads. Example: £40,000 overheads, 220 days, 75% utilisation. Per working day = £181.82, but only 165 days are billed, so £30,000 comes back and £10,000 a year is lost. Per billable day = £242.42 recovers it all.</t>
  </si>
  <si>
    <t xml:space="preserve">One method everywhere: yearly overhead + plant ÷ billable days (working days × utilisation), shared across the number of crews. Summary and Job Pricing now use the same figure.</t>
  </si>
  <si>
    <t xml:space="preserve">3</t>
  </si>
  <si>
    <t xml:space="preserve">The vehicle and chipper could be counted twice: once in "on-site cost per day" (notes said finance, depreciation, servicing) and again in the yearly "Chipper &amp; Vehicle" plant line.</t>
  </si>
  <si>
    <t xml:space="preserve">Double counting over-prices every job and can lose work at tender.</t>
  </si>
  <si>
    <t xml:space="preserve">Split clearly. Yearly ownership costs (finance, depreciation, insurance, servicing) go in Plant. Per-day running costs cover fuel, consumables and wear only. Red warning on Inputs and a check on the Summary tab. Notes on insurance, repairs and tipping lines show where each cost belongs.</t>
  </si>
  <si>
    <t xml:space="preserve">4</t>
  </si>
  <si>
    <t xml:space="preserve">The Calcs tab had four first names typed in as labels.</t>
  </si>
  <si>
    <t xml:space="preserve">They may be real people. Names typed into formulas stay in the file when it is shared or sold.</t>
  </si>
  <si>
    <t xml:space="preserve">Names removed. Labels now link to the name typed on the Inputs tab, or show "Person 1" to "Person 8" if blank. Inputs advises initials or job titles if the file is shared.</t>
  </si>
  <si>
    <t xml:space="preserve">5</t>
  </si>
  <si>
    <t xml:space="preserve">The crew list was limited to 4 people.</t>
  </si>
  <si>
    <t xml:space="preserve">Too small for larger firms or two-crew days.</t>
  </si>
  <si>
    <t xml:space="preserve">Now 8 people, laid out as one table (name, role, type, day rate, on-cost %).</t>
  </si>
  <si>
    <t xml:space="preserve">6</t>
  </si>
  <si>
    <t xml:space="preserve">VAT was always added.</t>
  </si>
  <si>
    <t xml:space="preserve">Firms that are not VAT registered must not charge VAT.</t>
  </si>
  <si>
    <t xml:space="preserve">New "Are you VAT registered?" Yes/No choice. VAT is added only if Yes. The quote summary shows a check message until you choose.</t>
  </si>
  <si>
    <t xml:space="preserve">7</t>
  </si>
  <si>
    <t xml:space="preserve">Summary divided subcontractors’ day rates by utilisation too.</t>
  </si>
  <si>
    <t xml:space="preserve">Subcontractors are usually only paid for days worked, so this over-priced them.</t>
  </si>
  <si>
    <t xml:space="preserve">Only employees’ cost is spread over billable days, and you can switch this off (Inputs: "Spread employees’ non-billable days").</t>
  </si>
  <si>
    <t xml:space="preserve">+</t>
  </si>
  <si>
    <t xml:space="preserve">Improvements</t>
  </si>
  <si>
    <t xml:space="preserve">Job extras: tipping, MEWP hire, crane hire, traffic management, permits, stump grinding, travel, other, with a choice to add profit to extras. Job contingency %. Minimum job charge.</t>
  </si>
  <si>
    <t xml:space="preserve">Day-rate sanity check. Quote summary block and copy-ready line. Employer on-cost helper (NI, pension, holiday – 2026/27 rates from GOV.UK). Number of crews. Non-billable wages and other overheads lines. Percentages stored properly. Formula cells locked (no password). Start here tab and worked example.</t>
  </si>
</sst>
</file>

<file path=xl/styles.xml><?xml version="1.0" encoding="utf-8"?>
<styleSheet xmlns="http://schemas.openxmlformats.org/spreadsheetml/2006/main">
  <numFmts count="13">
    <numFmt numFmtId="164" formatCode="General"/>
    <numFmt numFmtId="165" formatCode="0"/>
    <numFmt numFmtId="166" formatCode="0.0"/>
    <numFmt numFmtId="167" formatCode="0%"/>
    <numFmt numFmtId="168" formatCode="0.0%"/>
    <numFmt numFmtId="169" formatCode="\£#,##0.00;[RED]&quot;-£&quot;#,##0.00;\–"/>
    <numFmt numFmtId="170" formatCode="#,##0"/>
    <numFmt numFmtId="171" formatCode="0.0000"/>
    <numFmt numFmtId="172" formatCode="0.00"/>
    <numFmt numFmtId="173" formatCode="0.0#"/>
    <numFmt numFmtId="174" formatCode="0.0%;[RED]\-0.0%;\–"/>
    <numFmt numFmtId="175" formatCode="\£#,##0;[RED]&quot;-£&quot;#,##0;\–"/>
    <numFmt numFmtId="176" formatCode="\£#,##0.00"/>
  </numFmts>
  <fonts count="21">
    <font>
      <sz val="11"/>
      <color theme="1"/>
      <name val="Calibri"/>
      <family val="2"/>
      <charset val="1"/>
    </font>
    <font>
      <sz val="10"/>
      <name val="Arial"/>
      <family val="0"/>
    </font>
    <font>
      <sz val="10"/>
      <name val="Arial"/>
      <family val="0"/>
    </font>
    <font>
      <sz val="10"/>
      <name val="Arial"/>
      <family val="0"/>
    </font>
    <font>
      <b val="true"/>
      <sz val="11"/>
      <color rgb="FFC00000"/>
      <name val="Aptos"/>
      <family val="0"/>
      <charset val="1"/>
    </font>
    <font>
      <b val="true"/>
      <sz val="18"/>
      <color rgb="FF5C3566"/>
      <name val="Aptos"/>
      <family val="0"/>
      <charset val="1"/>
    </font>
    <font>
      <sz val="10"/>
      <color rgb="FF595959"/>
      <name val="Aptos"/>
      <family val="0"/>
      <charset val="1"/>
    </font>
    <font>
      <b val="true"/>
      <sz val="11"/>
      <color rgb="FFFFFFFF"/>
      <name val="Aptos"/>
      <family val="0"/>
      <charset val="1"/>
    </font>
    <font>
      <b val="true"/>
      <sz val="10"/>
      <color rgb="FF5C3566"/>
      <name val="Aptos"/>
      <family val="0"/>
      <charset val="1"/>
    </font>
    <font>
      <sz val="10"/>
      <name val="Aptos"/>
      <family val="0"/>
      <charset val="1"/>
    </font>
    <font>
      <b val="true"/>
      <sz val="10"/>
      <color rgb="FF0000FF"/>
      <name val="Aptos"/>
      <family val="0"/>
      <charset val="1"/>
    </font>
    <font>
      <b val="true"/>
      <sz val="16"/>
      <color rgb="FF5C3566"/>
      <name val="Aptos"/>
      <family val="0"/>
      <charset val="1"/>
    </font>
    <font>
      <sz val="9"/>
      <color rgb="FF595959"/>
      <name val="Aptos"/>
      <family val="0"/>
      <charset val="1"/>
    </font>
    <font>
      <b val="true"/>
      <sz val="10"/>
      <color rgb="FFFFFFFF"/>
      <name val="Aptos"/>
      <family val="0"/>
      <charset val="1"/>
    </font>
    <font>
      <sz val="10"/>
      <color rgb="FF000000"/>
      <name val="Aptos"/>
      <family val="0"/>
      <charset val="1"/>
    </font>
    <font>
      <b val="true"/>
      <sz val="9"/>
      <color rgb="FFC00000"/>
      <name val="Aptos"/>
      <family val="0"/>
      <charset val="1"/>
    </font>
    <font>
      <b val="true"/>
      <sz val="10"/>
      <color rgb="FFC00000"/>
      <name val="Aptos"/>
      <family val="0"/>
      <charset val="1"/>
    </font>
    <font>
      <b val="true"/>
      <sz val="10"/>
      <color rgb="FF000000"/>
      <name val="Aptos"/>
      <family val="0"/>
      <charset val="1"/>
    </font>
    <font>
      <sz val="10"/>
      <color rgb="FF5C3566"/>
      <name val="Aptos"/>
      <family val="0"/>
      <charset val="1"/>
    </font>
    <font>
      <i val="true"/>
      <sz val="10"/>
      <color rgb="FF595959"/>
      <name val="Aptos"/>
      <family val="0"/>
      <charset val="1"/>
    </font>
    <font>
      <b val="true"/>
      <i val="true"/>
      <sz val="10"/>
      <color rgb="FF595959"/>
      <name val="Aptos"/>
      <family val="0"/>
      <charset val="1"/>
    </font>
  </fonts>
  <fills count="9">
    <fill>
      <patternFill patternType="none"/>
    </fill>
    <fill>
      <patternFill patternType="gray125"/>
    </fill>
    <fill>
      <patternFill patternType="solid">
        <fgColor rgb="FF5C3566"/>
        <bgColor rgb="FF6B4E8E"/>
      </patternFill>
    </fill>
    <fill>
      <patternFill patternType="solid">
        <fgColor rgb="FFF3EFF7"/>
        <bgColor rgb="FFFDECEC"/>
      </patternFill>
    </fill>
    <fill>
      <patternFill patternType="solid">
        <fgColor rgb="FFDDEBF7"/>
        <bgColor rgb="FFE6DEF0"/>
      </patternFill>
    </fill>
    <fill>
      <patternFill patternType="solid">
        <fgColor rgb="FF6B4E8E"/>
        <bgColor rgb="FF595959"/>
      </patternFill>
    </fill>
    <fill>
      <patternFill patternType="solid">
        <fgColor rgb="FFFDECEC"/>
        <bgColor rgb="FFF3EFF7"/>
      </patternFill>
    </fill>
    <fill>
      <patternFill patternType="solid">
        <fgColor rgb="FFE6DEF0"/>
        <bgColor rgb="FFDDEBF7"/>
      </patternFill>
    </fill>
    <fill>
      <patternFill patternType="solid">
        <fgColor rgb="FFFFFFFF"/>
        <bgColor rgb="FFF3EFF7"/>
      </patternFill>
    </fill>
  </fills>
  <borders count="3">
    <border diagonalUp="false" diagonalDown="false">
      <left/>
      <right/>
      <top/>
      <bottom/>
      <diagonal/>
    </border>
    <border diagonalUp="false" diagonalDown="false">
      <left style="thin">
        <color rgb="FFC9BCD8"/>
      </left>
      <right style="thin">
        <color rgb="FFC9BCD8"/>
      </right>
      <top style="thin">
        <color rgb="FFC9BCD8"/>
      </top>
      <bottom style="thin">
        <color rgb="FFC9BCD8"/>
      </bottom>
      <diagonal/>
    </border>
    <border diagonalUp="false" diagonalDown="false">
      <left style="thin">
        <color rgb="FFC9BCD8"/>
      </left>
      <right/>
      <top style="thin">
        <color rgb="FFC9BCD8"/>
      </top>
      <bottom style="thin">
        <color rgb="FFC9BC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center" textRotation="0" wrapText="false" indent="1"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true">
      <alignment horizontal="left" vertical="bottom" textRotation="0" wrapText="false" indent="0" shrinkToFit="false"/>
      <protection locked="fals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true">
      <alignment horizontal="left" vertical="center" textRotation="0" wrapText="true" indent="0" shrinkToFit="false"/>
      <protection locked="fals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true">
      <alignment horizontal="right" vertical="center" textRotation="0" wrapText="false" indent="0" shrinkToFit="false"/>
      <protection locked="false" hidden="false"/>
    </xf>
    <xf numFmtId="166" fontId="10" fillId="4" borderId="1" xfId="0" applyFont="true" applyBorder="true" applyAlignment="true" applyProtection="true">
      <alignment horizontal="right" vertical="center" textRotation="0" wrapText="false" indent="0" shrinkToFit="false"/>
      <protection locked="false" hidden="false"/>
    </xf>
    <xf numFmtId="167" fontId="10" fillId="4" borderId="1" xfId="0" applyFont="true" applyBorder="true" applyAlignment="true" applyProtection="true">
      <alignment horizontal="right" vertical="center" textRotation="0" wrapText="false" indent="0" shrinkToFit="false"/>
      <protection locked="false" hidden="false"/>
    </xf>
    <xf numFmtId="164" fontId="10" fillId="4" borderId="1" xfId="0" applyFont="true" applyBorder="true" applyAlignment="true" applyProtection="true">
      <alignment horizontal="center" vertical="center" textRotation="0" wrapText="true" indent="0" shrinkToFit="false"/>
      <protection locked="false" hidden="false"/>
    </xf>
    <xf numFmtId="168" fontId="10" fillId="4" borderId="1" xfId="0" applyFont="true" applyBorder="true" applyAlignment="true" applyProtection="true">
      <alignment horizontal="right" vertical="center" textRotation="0" wrapText="false" indent="0" shrinkToFit="false"/>
      <protection locked="false" hidden="false"/>
    </xf>
    <xf numFmtId="169" fontId="10" fillId="4" borderId="1" xfId="0" applyFont="true" applyBorder="true" applyAlignment="true" applyProtection="true">
      <alignment horizontal="right" vertical="center" textRotation="0" wrapText="false" indent="0" shrinkToFit="false"/>
      <protection locked="false" hidden="false"/>
    </xf>
    <xf numFmtId="164" fontId="10" fillId="4" borderId="1" xfId="0" applyFont="true" applyBorder="true" applyAlignment="true" applyProtection="true">
      <alignment horizontal="left" vertical="center" textRotation="0" wrapText="false" indent="0" shrinkToFit="false"/>
      <protection locked="false" hidden="false"/>
    </xf>
    <xf numFmtId="169" fontId="14" fillId="3" borderId="1" xfId="0" applyFont="true" applyBorder="true" applyAlignment="true" applyProtection="false">
      <alignment horizontal="right" vertical="center" textRotation="0" wrapText="fals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16" fillId="6" borderId="0" xfId="0" applyFont="true" applyBorder="true" applyAlignment="true" applyProtection="false">
      <alignment horizontal="general" vertical="center" textRotation="0" wrapText="true" indent="0" shrinkToFit="false"/>
      <protection locked="true" hidden="false"/>
    </xf>
    <xf numFmtId="169" fontId="17" fillId="3" borderId="1" xfId="0" applyFont="true" applyBorder="true" applyAlignment="true" applyProtection="false">
      <alignment horizontal="right" vertical="center" textRotation="0" wrapText="false" indent="0" shrinkToFit="false"/>
      <protection locked="true" hidden="false"/>
    </xf>
    <xf numFmtId="164" fontId="18" fillId="3" borderId="1" xfId="0" applyFont="true" applyBorder="true" applyAlignment="true" applyProtection="false">
      <alignment horizontal="general" vertical="center" textRotation="0" wrapText="true" indent="0" shrinkToFit="false"/>
      <protection locked="true" hidden="false"/>
    </xf>
    <xf numFmtId="165" fontId="14" fillId="3" borderId="1" xfId="0" applyFont="true" applyBorder="true" applyAlignment="true" applyProtection="false">
      <alignment horizontal="right" vertical="center" textRotation="0" wrapText="false" indent="0" shrinkToFit="false"/>
      <protection locked="true" hidden="false"/>
    </xf>
    <xf numFmtId="164" fontId="14" fillId="3" borderId="1" xfId="0" applyFont="true" applyBorder="true" applyAlignment="true" applyProtection="false">
      <alignment horizontal="right" vertical="center" textRotation="0" wrapText="false" indent="0" shrinkToFit="false"/>
      <protection locked="true" hidden="false"/>
    </xf>
    <xf numFmtId="166" fontId="14" fillId="3" borderId="1" xfId="0" applyFont="true" applyBorder="true" applyAlignment="true" applyProtection="false">
      <alignment horizontal="right" vertical="center" textRotation="0" wrapText="false" indent="0" shrinkToFit="false"/>
      <protection locked="true" hidden="false"/>
    </xf>
    <xf numFmtId="167" fontId="14" fillId="3" borderId="1" xfId="0" applyFont="true" applyBorder="true" applyAlignment="true" applyProtection="false">
      <alignment horizontal="right" vertical="center" textRotation="0" wrapText="false" indent="0" shrinkToFit="false"/>
      <protection locked="true" hidden="false"/>
    </xf>
    <xf numFmtId="166" fontId="17" fillId="3" borderId="1" xfId="0" applyFont="true" applyBorder="true" applyAlignment="true" applyProtection="false">
      <alignment horizontal="right" vertical="center" textRotation="0" wrapText="false" indent="0" shrinkToFit="false"/>
      <protection locked="true" hidden="false"/>
    </xf>
    <xf numFmtId="170" fontId="14" fillId="3" borderId="1" xfId="0" applyFont="true" applyBorder="true" applyAlignment="true" applyProtection="false">
      <alignment horizontal="right" vertical="center" textRotation="0" wrapText="false" indent="0" shrinkToFit="false"/>
      <protection locked="true" hidden="false"/>
    </xf>
    <xf numFmtId="168" fontId="14" fillId="3" borderId="1" xfId="0" applyFont="true" applyBorder="true" applyAlignment="true" applyProtection="false">
      <alignment horizontal="right" vertical="center" textRotation="0" wrapText="false" indent="0" shrinkToFit="false"/>
      <protection locked="true" hidden="false"/>
    </xf>
    <xf numFmtId="171" fontId="17" fillId="3" borderId="1" xfId="0" applyFont="true" applyBorder="true" applyAlignment="true" applyProtection="false">
      <alignment horizontal="right" vertical="center" textRotation="0" wrapText="false" indent="0" shrinkToFit="false"/>
      <protection locked="true" hidden="false"/>
    </xf>
    <xf numFmtId="172" fontId="14" fillId="3" borderId="1" xfId="0" applyFont="true" applyBorder="true" applyAlignment="true" applyProtection="false">
      <alignment horizontal="right" vertical="center"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73" fontId="10" fillId="4" borderId="1" xfId="0" applyFont="true" applyBorder="true" applyAlignment="true" applyProtection="true">
      <alignment horizontal="right" vertical="center" textRotation="0" wrapText="false" indent="0" shrinkToFit="false"/>
      <protection locked="false" hidden="false"/>
    </xf>
    <xf numFmtId="174" fontId="14" fillId="3" borderId="1" xfId="0" applyFont="true" applyBorder="true" applyAlignment="true" applyProtection="false">
      <alignment horizontal="right" vertical="center" textRotation="0" wrapText="false" indent="0" shrinkToFit="false"/>
      <protection locked="true" hidden="false"/>
    </xf>
    <xf numFmtId="164" fontId="10" fillId="4" borderId="1" xfId="0" applyFont="true" applyBorder="true" applyAlignment="true" applyProtection="true">
      <alignment horizontal="right" vertical="center" textRotation="0" wrapText="false" indent="0" shrinkToFit="false"/>
      <protection locked="false" hidden="false"/>
    </xf>
    <xf numFmtId="164" fontId="10" fillId="4" borderId="1" xfId="0" applyFont="true" applyBorder="true" applyAlignment="true" applyProtection="true">
      <alignment horizontal="general" vertical="top" textRotation="0" wrapText="true" indent="0" shrinkToFit="false"/>
      <protection locked="false" hidden="false"/>
    </xf>
    <xf numFmtId="164" fontId="14" fillId="3" borderId="1" xfId="0" applyFont="true" applyBorder="true" applyAlignment="true" applyProtection="false">
      <alignment horizontal="left" vertical="top" textRotation="0" wrapText="true" indent="0" shrinkToFit="false"/>
      <protection locked="true" hidden="false"/>
    </xf>
    <xf numFmtId="175" fontId="14" fillId="3" borderId="1" xfId="0" applyFont="true" applyBorder="true" applyAlignment="true" applyProtection="false">
      <alignment horizontal="right" vertical="center" textRotation="0" wrapText="false" indent="0" shrinkToFit="false"/>
      <protection locked="true" hidden="false"/>
    </xf>
    <xf numFmtId="164" fontId="17" fillId="3" borderId="2" xfId="0" applyFont="true" applyBorder="true" applyAlignment="true" applyProtection="false">
      <alignment horizontal="left"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true" indent="0" shrinkToFit="false"/>
      <protection locked="true" hidden="false"/>
    </xf>
    <xf numFmtId="175" fontId="10" fillId="4" borderId="1" xfId="0" applyFont="true" applyBorder="true" applyAlignment="true" applyProtection="true">
      <alignment horizontal="right" vertical="center" textRotation="0" wrapText="false" indent="0" shrinkToFit="false"/>
      <protection locked="false" hidden="false"/>
    </xf>
    <xf numFmtId="168" fontId="17" fillId="7" borderId="1" xfId="0" applyFont="true" applyBorder="true" applyAlignment="true" applyProtection="false">
      <alignment horizontal="right" vertical="center" textRotation="0" wrapText="false" indent="0" shrinkToFit="false"/>
      <protection locked="true" hidden="false"/>
    </xf>
    <xf numFmtId="174" fontId="17" fillId="3" borderId="1" xfId="0" applyFont="true" applyBorder="true" applyAlignment="true" applyProtection="false">
      <alignment horizontal="right" vertical="center" textRotation="0" wrapText="false" indent="0" shrinkToFit="false"/>
      <protection locked="true" hidden="false"/>
    </xf>
    <xf numFmtId="165" fontId="19" fillId="3" borderId="1" xfId="0" applyFont="true" applyBorder="true" applyAlignment="true" applyProtection="false">
      <alignment horizontal="right" vertical="center" textRotation="0" wrapText="false" indent="0" shrinkToFit="false"/>
      <protection locked="true" hidden="false"/>
    </xf>
    <xf numFmtId="164" fontId="19" fillId="3" borderId="1" xfId="0" applyFont="true" applyBorder="true" applyAlignment="true" applyProtection="false">
      <alignment horizontal="right" vertical="center" textRotation="0" wrapText="false" indent="0" shrinkToFit="false"/>
      <protection locked="true" hidden="false"/>
    </xf>
    <xf numFmtId="168" fontId="19" fillId="3" borderId="1" xfId="0" applyFont="true" applyBorder="true" applyAlignment="true" applyProtection="false">
      <alignment horizontal="right" vertical="center" textRotation="0" wrapText="false" indent="0" shrinkToFit="false"/>
      <protection locked="true" hidden="false"/>
    </xf>
    <xf numFmtId="176" fontId="19" fillId="3" borderId="1" xfId="0" applyFont="true" applyBorder="true" applyAlignment="true" applyProtection="false">
      <alignment horizontal="right" vertical="center" textRotation="0" wrapText="false" indent="0" shrinkToFit="false"/>
      <protection locked="true" hidden="false"/>
    </xf>
    <xf numFmtId="166" fontId="19" fillId="3" borderId="1" xfId="0" applyFont="true" applyBorder="true" applyAlignment="true" applyProtection="false">
      <alignment horizontal="right" vertical="center" textRotation="0" wrapText="false" indent="0" shrinkToFit="false"/>
      <protection locked="true" hidden="false"/>
    </xf>
    <xf numFmtId="176" fontId="20" fillId="3" borderId="1" xfId="0" applyFont="true" applyBorder="true" applyAlignment="true" applyProtection="false">
      <alignment horizontal="right" vertical="center"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14" fillId="8"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ptos"/>
        <charset val="1"/>
        <family val="0"/>
        <b val="1"/>
        <color rgb="FFC00000"/>
        <sz val="10"/>
      </font>
    </dxf>
    <dxf>
      <font>
        <name val="Aptos"/>
        <charset val="1"/>
        <family val="0"/>
        <b val="1"/>
        <color rgb="FF5C3566"/>
        <sz val="10"/>
      </font>
      <fill>
        <patternFill>
          <bgColor rgb="FFE6DEF0"/>
        </patternFill>
      </fill>
    </dxf>
    <dxf>
      <font>
        <name val="Aptos"/>
        <charset val="1"/>
        <family val="0"/>
        <b val="1"/>
        <color rgb="FFC00000"/>
        <sz val="10"/>
      </font>
      <fill>
        <patternFill>
          <bgColor rgb="FFFDECEC"/>
        </patternFill>
      </fill>
    </dxf>
    <dxf>
      <font>
        <name val="Aptos"/>
        <charset val="1"/>
        <family val="0"/>
        <b val="1"/>
        <color rgb="FF7F6000"/>
        <sz val="10"/>
      </font>
      <fill>
        <patternFill>
          <bgColor rgb="FFFFF2CC"/>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080"/>
      <rgbColor rgb="FFC9BCD8"/>
      <rgbColor rgb="FF808080"/>
      <rgbColor rgb="FF9999FF"/>
      <rgbColor rgb="FF993366"/>
      <rgbColor rgb="FFFFF2CC"/>
      <rgbColor rgb="FFDDEBF7"/>
      <rgbColor rgb="FF660066"/>
      <rgbColor rgb="FFFF8080"/>
      <rgbColor rgb="FF0066CC"/>
      <rgbColor rgb="FFE6DEF0"/>
      <rgbColor rgb="FF000080"/>
      <rgbColor rgb="FFFF00FF"/>
      <rgbColor rgb="FFFFFF00"/>
      <rgbColor rgb="FF00FFFF"/>
      <rgbColor rgb="FF800080"/>
      <rgbColor rgb="FF800000"/>
      <rgbColor rgb="FF008080"/>
      <rgbColor rgb="FF0000FF"/>
      <rgbColor rgb="FF00CCFF"/>
      <rgbColor rgb="FFF3EFF7"/>
      <rgbColor rgb="FFCCFFCC"/>
      <rgbColor rgb="FFFDECEC"/>
      <rgbColor rgb="FF99CCFF"/>
      <rgbColor rgb="FFFF99CC"/>
      <rgbColor rgb="FFCC99FF"/>
      <rgbColor rgb="FFFFCC99"/>
      <rgbColor rgb="FF3366FF"/>
      <rgbColor rgb="FF33CCCC"/>
      <rgbColor rgb="FF99CC00"/>
      <rgbColor rgb="FFFFCC00"/>
      <rgbColor rgb="FFFF9900"/>
      <rgbColor rgb="FFFF6600"/>
      <rgbColor rgb="FF6B4E8E"/>
      <rgbColor rgb="FF969696"/>
      <rgbColor rgb="FF003366"/>
      <rgbColor rgb="FF339966"/>
      <rgbColor rgb="FF003300"/>
      <rgbColor rgb="FF333300"/>
      <rgbColor rgb="FF993300"/>
      <rgbColor rgb="FF993366"/>
      <rgbColor rgb="FF5C3566"/>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00"/>
  </cols>
  <sheetData>
    <row r="1" customFormat="false" ht="15" hidden="false" customHeight="false" outlineLevel="0" collapsed="false">
      <c r="B1" s="1" t="s">
        <v>0</v>
      </c>
    </row>
    <row r="2" customFormat="false" ht="22.05" hidden="false" customHeight="false" outlineLevel="0" collapsed="false">
      <c r="B2" s="2" t="s">
        <v>1</v>
      </c>
    </row>
    <row r="3" customFormat="false" ht="15" hidden="false" customHeight="false" outlineLevel="0" collapsed="false">
      <c r="B3" s="3" t="s">
        <v>2</v>
      </c>
    </row>
    <row r="5" customFormat="false" ht="19.5" hidden="false" customHeight="true" outlineLevel="0" collapsed="false">
      <c r="B5" s="4" t="s">
        <v>3</v>
      </c>
      <c r="C5" s="4"/>
    </row>
    <row r="6" customFormat="false" ht="30.75" hidden="false" customHeight="true" outlineLevel="0" collapsed="false">
      <c r="B6" s="5" t="s">
        <v>4</v>
      </c>
      <c r="C6" s="6" t="s">
        <v>5</v>
      </c>
    </row>
    <row r="7" customFormat="false" ht="30.75" hidden="false" customHeight="true" outlineLevel="0" collapsed="false">
      <c r="B7" s="5" t="s">
        <v>6</v>
      </c>
      <c r="C7" s="6" t="s">
        <v>7</v>
      </c>
    </row>
    <row r="8" customFormat="false" ht="30.75" hidden="false" customHeight="true" outlineLevel="0" collapsed="false">
      <c r="B8" s="5" t="s">
        <v>8</v>
      </c>
      <c r="C8" s="6" t="s">
        <v>9</v>
      </c>
    </row>
    <row r="9" customFormat="false" ht="18" hidden="false" customHeight="true" outlineLevel="0" collapsed="false">
      <c r="B9" s="5" t="s">
        <v>10</v>
      </c>
      <c r="C9" s="6" t="s">
        <v>11</v>
      </c>
    </row>
    <row r="10" customFormat="false" ht="30.75" hidden="false" customHeight="true" outlineLevel="0" collapsed="false">
      <c r="B10" s="5" t="s">
        <v>12</v>
      </c>
      <c r="C10" s="6" t="s">
        <v>13</v>
      </c>
    </row>
    <row r="11" customFormat="false" ht="30.75" hidden="false" customHeight="true" outlineLevel="0" collapsed="false">
      <c r="B11" s="5" t="s">
        <v>14</v>
      </c>
      <c r="C11" s="6" t="s">
        <v>15</v>
      </c>
    </row>
    <row r="12" customFormat="false" ht="19.5" hidden="false" customHeight="true" outlineLevel="0" collapsed="false">
      <c r="B12" s="4" t="s">
        <v>16</v>
      </c>
      <c r="C12" s="4"/>
    </row>
    <row r="13" customFormat="false" ht="30.75" hidden="false" customHeight="true" outlineLevel="0" collapsed="false">
      <c r="B13" s="5" t="s">
        <v>17</v>
      </c>
      <c r="C13" s="6" t="s">
        <v>18</v>
      </c>
    </row>
    <row r="14" customFormat="false" ht="30.75" hidden="false" customHeight="true" outlineLevel="0" collapsed="false">
      <c r="B14" s="5" t="s">
        <v>19</v>
      </c>
      <c r="C14" s="6" t="s">
        <v>20</v>
      </c>
    </row>
    <row r="15" customFormat="false" ht="18" hidden="false" customHeight="true" outlineLevel="0" collapsed="false">
      <c r="B15" s="5" t="s">
        <v>21</v>
      </c>
      <c r="C15" s="6" t="s">
        <v>22</v>
      </c>
    </row>
    <row r="16" customFormat="false" ht="30.75" hidden="false" customHeight="true" outlineLevel="0" collapsed="false">
      <c r="B16" s="5" t="s">
        <v>23</v>
      </c>
      <c r="C16" s="6" t="s">
        <v>24</v>
      </c>
    </row>
    <row r="17" customFormat="false" ht="30.75" hidden="false" customHeight="true" outlineLevel="0" collapsed="false">
      <c r="B17" s="5" t="s">
        <v>25</v>
      </c>
      <c r="C17" s="6" t="s">
        <v>26</v>
      </c>
    </row>
    <row r="18" customFormat="false" ht="18" hidden="false" customHeight="true" outlineLevel="0" collapsed="false">
      <c r="B18" s="5" t="s">
        <v>27</v>
      </c>
      <c r="C18" s="6" t="s">
        <v>28</v>
      </c>
    </row>
    <row r="19" customFormat="false" ht="19.5" hidden="false" customHeight="true" outlineLevel="0" collapsed="false">
      <c r="B19" s="4" t="s">
        <v>29</v>
      </c>
      <c r="C19" s="4"/>
    </row>
    <row r="20" customFormat="false" ht="18" hidden="false" customHeight="true" outlineLevel="0" collapsed="false">
      <c r="B20" s="5" t="s">
        <v>30</v>
      </c>
      <c r="C20" s="6" t="s">
        <v>31</v>
      </c>
    </row>
    <row r="21" customFormat="false" ht="30.75" hidden="false" customHeight="true" outlineLevel="0" collapsed="false">
      <c r="B21" s="5" t="s">
        <v>32</v>
      </c>
      <c r="C21" s="6" t="s">
        <v>33</v>
      </c>
    </row>
    <row r="22" customFormat="false" ht="18" hidden="false" customHeight="true" outlineLevel="0" collapsed="false">
      <c r="B22" s="5" t="s">
        <v>34</v>
      </c>
      <c r="C22" s="6" t="s">
        <v>35</v>
      </c>
    </row>
    <row r="23" customFormat="false" ht="18" hidden="false" customHeight="true" outlineLevel="0" collapsed="false">
      <c r="B23" s="5" t="s">
        <v>36</v>
      </c>
      <c r="C23" s="6" t="s">
        <v>37</v>
      </c>
    </row>
    <row r="24" customFormat="false" ht="19.5" hidden="false" customHeight="true" outlineLevel="0" collapsed="false">
      <c r="B24" s="4" t="s">
        <v>38</v>
      </c>
      <c r="C24" s="4"/>
    </row>
    <row r="25" customFormat="false" ht="30.75" hidden="false" customHeight="true" outlineLevel="0" collapsed="false">
      <c r="B25" s="5" t="s">
        <v>39</v>
      </c>
      <c r="C25" s="6" t="s">
        <v>40</v>
      </c>
    </row>
    <row r="26" customFormat="false" ht="30.75" hidden="false" customHeight="true" outlineLevel="0" collapsed="false">
      <c r="B26" s="5" t="s">
        <v>41</v>
      </c>
      <c r="C26" s="6" t="s">
        <v>42</v>
      </c>
    </row>
    <row r="27" customFormat="false" ht="30.75" hidden="false" customHeight="true" outlineLevel="0" collapsed="false">
      <c r="B27" s="5" t="s">
        <v>43</v>
      </c>
      <c r="C27" s="6" t="s">
        <v>44</v>
      </c>
    </row>
    <row r="28" customFormat="false" ht="19.5" hidden="false" customHeight="true" outlineLevel="0" collapsed="false">
      <c r="B28" s="4" t="s">
        <v>45</v>
      </c>
      <c r="C28" s="4"/>
    </row>
    <row r="29" customFormat="false" ht="43.5" hidden="false" customHeight="true" outlineLevel="0" collapsed="false">
      <c r="B29" s="5" t="s">
        <v>46</v>
      </c>
      <c r="C29" s="6" t="s">
        <v>47</v>
      </c>
    </row>
    <row r="30" customFormat="false" ht="30.75" hidden="false" customHeight="true" outlineLevel="0" collapsed="false">
      <c r="B30" s="5" t="s">
        <v>48</v>
      </c>
      <c r="C30" s="6" t="s">
        <v>49</v>
      </c>
    </row>
    <row r="31" customFormat="false" ht="30.75" hidden="false" customHeight="true" outlineLevel="0" collapsed="false">
      <c r="B31" s="5" t="s">
        <v>50</v>
      </c>
      <c r="C31" s="6" t="s">
        <v>51</v>
      </c>
    </row>
    <row r="32" customFormat="false" ht="18" hidden="false" customHeight="true" outlineLevel="0" collapsed="false">
      <c r="B32" s="5" t="s">
        <v>52</v>
      </c>
      <c r="C32" s="6" t="s">
        <v>53</v>
      </c>
    </row>
    <row r="33" customFormat="false" ht="18" hidden="false" customHeight="true" outlineLevel="0" collapsed="false">
      <c r="B33" s="5" t="s">
        <v>54</v>
      </c>
      <c r="C33" s="6" t="s">
        <v>55</v>
      </c>
    </row>
    <row r="35" customFormat="false" ht="15" hidden="false" customHeight="false" outlineLevel="0" collapsed="false">
      <c r="B35" s="5" t="s">
        <v>56</v>
      </c>
      <c r="C35" s="7" t="s">
        <v>57</v>
      </c>
    </row>
  </sheetData>
  <sheetProtection sheet="true" formatColumns="false" formatRows="false"/>
  <mergeCells count="5">
    <mergeCell ref="B5:C5"/>
    <mergeCell ref="B12:C12"/>
    <mergeCell ref="B19:C19"/>
    <mergeCell ref="B24:C24"/>
    <mergeCell ref="B28:C28"/>
  </mergeCells>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46"/>
    <col collapsed="false" customWidth="true" hidden="false" outlineLevel="0" max="4" min="3" style="0" width="15"/>
    <col collapsed="false" customWidth="true" hidden="false" outlineLevel="0" max="7" min="5" style="0" width="13"/>
    <col collapsed="false" customWidth="true" hidden="false" outlineLevel="0" max="8" min="8" style="0" width="34"/>
  </cols>
  <sheetData>
    <row r="1" customFormat="false" ht="25.5" hidden="false" customHeight="true" outlineLevel="0" collapsed="false">
      <c r="A1" s="8" t="s">
        <v>58</v>
      </c>
    </row>
    <row r="2" customFormat="false" ht="27.75" hidden="false" customHeight="true" outlineLevel="0" collapsed="false">
      <c r="A2" s="9" t="s">
        <v>59</v>
      </c>
      <c r="B2" s="9"/>
      <c r="C2" s="9"/>
      <c r="D2" s="9"/>
      <c r="E2" s="9"/>
      <c r="F2" s="9"/>
      <c r="G2" s="9"/>
      <c r="H2" s="9"/>
    </row>
    <row r="3" customFormat="false" ht="21.75" hidden="false" customHeight="true" outlineLevel="0" collapsed="false">
      <c r="A3" s="10" t="s">
        <v>60</v>
      </c>
      <c r="B3" s="10" t="s">
        <v>61</v>
      </c>
      <c r="C3" s="10" t="s">
        <v>62</v>
      </c>
      <c r="D3" s="10" t="s">
        <v>63</v>
      </c>
      <c r="E3" s="10"/>
      <c r="F3" s="10"/>
      <c r="G3" s="10"/>
      <c r="H3" s="10"/>
    </row>
    <row r="4" customFormat="false" ht="19.5" hidden="false" customHeight="true" outlineLevel="0" collapsed="false">
      <c r="A4" s="4" t="s">
        <v>64</v>
      </c>
      <c r="B4" s="4"/>
      <c r="C4" s="4"/>
      <c r="D4" s="4"/>
      <c r="E4" s="4"/>
      <c r="F4" s="4"/>
      <c r="G4" s="4"/>
      <c r="H4" s="4"/>
    </row>
    <row r="5" customFormat="false" ht="30" hidden="false" customHeight="true" outlineLevel="0" collapsed="false">
      <c r="A5" s="11" t="s">
        <v>65</v>
      </c>
      <c r="B5" s="5" t="s">
        <v>66</v>
      </c>
      <c r="C5" s="12" t="s">
        <v>0</v>
      </c>
      <c r="D5" s="13" t="s">
        <v>67</v>
      </c>
      <c r="E5" s="13"/>
      <c r="F5" s="13"/>
      <c r="G5" s="13"/>
      <c r="H5" s="13"/>
    </row>
    <row r="6" customFormat="false" ht="30" hidden="false" customHeight="true" outlineLevel="0" collapsed="false">
      <c r="A6" s="11" t="s">
        <v>65</v>
      </c>
      <c r="B6" s="5" t="s">
        <v>68</v>
      </c>
      <c r="C6" s="14" t="n">
        <v>220</v>
      </c>
      <c r="D6" s="13" t="s">
        <v>69</v>
      </c>
      <c r="E6" s="13"/>
      <c r="F6" s="13"/>
      <c r="G6" s="13"/>
      <c r="H6" s="13"/>
    </row>
    <row r="7" customFormat="false" ht="18" hidden="false" customHeight="true" outlineLevel="0" collapsed="false">
      <c r="A7" s="11" t="s">
        <v>65</v>
      </c>
      <c r="B7" s="5" t="s">
        <v>70</v>
      </c>
      <c r="C7" s="15" t="n">
        <v>8</v>
      </c>
      <c r="D7" s="13" t="s">
        <v>71</v>
      </c>
      <c r="E7" s="13"/>
      <c r="F7" s="13"/>
      <c r="G7" s="13"/>
      <c r="H7" s="13"/>
    </row>
    <row r="8" customFormat="false" ht="30" hidden="false" customHeight="true" outlineLevel="0" collapsed="false">
      <c r="A8" s="11" t="s">
        <v>65</v>
      </c>
      <c r="B8" s="5" t="s">
        <v>72</v>
      </c>
      <c r="C8" s="16" t="n">
        <v>0.75</v>
      </c>
      <c r="D8" s="13" t="s">
        <v>73</v>
      </c>
      <c r="E8" s="13"/>
      <c r="F8" s="13"/>
      <c r="G8" s="13"/>
      <c r="H8" s="13"/>
    </row>
    <row r="9" customFormat="false" ht="30" hidden="false" customHeight="true" outlineLevel="0" collapsed="false">
      <c r="A9" s="11" t="s">
        <v>65</v>
      </c>
      <c r="B9" s="5" t="s">
        <v>74</v>
      </c>
      <c r="C9" s="14" t="n">
        <v>1</v>
      </c>
      <c r="D9" s="13" t="s">
        <v>75</v>
      </c>
      <c r="E9" s="13"/>
      <c r="F9" s="13"/>
      <c r="G9" s="13"/>
      <c r="H9" s="13"/>
    </row>
    <row r="10" customFormat="false" ht="30" hidden="false" customHeight="true" outlineLevel="0" collapsed="false">
      <c r="A10" s="11" t="s">
        <v>65</v>
      </c>
      <c r="B10" s="5" t="s">
        <v>76</v>
      </c>
      <c r="C10" s="17" t="s">
        <v>77</v>
      </c>
      <c r="D10" s="13" t="s">
        <v>78</v>
      </c>
      <c r="E10" s="13"/>
      <c r="F10" s="13"/>
      <c r="G10" s="13"/>
      <c r="H10" s="13"/>
    </row>
    <row r="11" customFormat="false" ht="30" hidden="false" customHeight="true" outlineLevel="0" collapsed="false">
      <c r="A11" s="11" t="s">
        <v>65</v>
      </c>
      <c r="B11" s="5" t="s">
        <v>79</v>
      </c>
      <c r="C11" s="18" t="n">
        <v>0.2</v>
      </c>
      <c r="D11" s="13" t="s">
        <v>80</v>
      </c>
      <c r="E11" s="13"/>
      <c r="F11" s="13"/>
      <c r="G11" s="13"/>
      <c r="H11" s="13"/>
    </row>
    <row r="12" customFormat="false" ht="30" hidden="false" customHeight="true" outlineLevel="0" collapsed="false">
      <c r="A12" s="11" t="s">
        <v>65</v>
      </c>
      <c r="B12" s="5" t="s">
        <v>81</v>
      </c>
      <c r="C12" s="17"/>
      <c r="D12" s="13" t="s">
        <v>82</v>
      </c>
      <c r="E12" s="13"/>
      <c r="F12" s="13"/>
      <c r="G12" s="13"/>
      <c r="H12" s="13"/>
    </row>
    <row r="13" customFormat="false" ht="18" hidden="false" customHeight="true" outlineLevel="0" collapsed="false">
      <c r="A13" s="11" t="s">
        <v>65</v>
      </c>
      <c r="B13" s="5" t="s">
        <v>83</v>
      </c>
      <c r="C13" s="16" t="n">
        <v>0.2</v>
      </c>
      <c r="D13" s="13" t="s">
        <v>84</v>
      </c>
      <c r="E13" s="13"/>
      <c r="F13" s="13"/>
      <c r="G13" s="13"/>
      <c r="H13" s="13"/>
    </row>
    <row r="14" customFormat="false" ht="42" hidden="false" customHeight="true" outlineLevel="0" collapsed="false">
      <c r="A14" s="11" t="s">
        <v>65</v>
      </c>
      <c r="B14" s="5" t="s">
        <v>85</v>
      </c>
      <c r="C14" s="17" t="s">
        <v>86</v>
      </c>
      <c r="D14" s="13" t="s">
        <v>87</v>
      </c>
      <c r="E14" s="13"/>
      <c r="F14" s="13"/>
      <c r="G14" s="13"/>
      <c r="H14" s="13"/>
    </row>
    <row r="15" customFormat="false" ht="30" hidden="false" customHeight="true" outlineLevel="0" collapsed="false">
      <c r="A15" s="11" t="s">
        <v>65</v>
      </c>
      <c r="B15" s="5" t="s">
        <v>88</v>
      </c>
      <c r="C15" s="19"/>
      <c r="D15" s="13" t="s">
        <v>89</v>
      </c>
      <c r="E15" s="13"/>
      <c r="F15" s="13"/>
      <c r="G15" s="13"/>
      <c r="H15" s="13"/>
    </row>
    <row r="17" customFormat="false" ht="19.5" hidden="false" customHeight="true" outlineLevel="0" collapsed="false">
      <c r="A17" s="4" t="s">
        <v>90</v>
      </c>
      <c r="B17" s="4"/>
      <c r="C17" s="4"/>
      <c r="D17" s="4"/>
      <c r="E17" s="4"/>
      <c r="F17" s="4"/>
      <c r="G17" s="4"/>
      <c r="H17" s="4"/>
    </row>
    <row r="18" customFormat="false" ht="30" hidden="false" customHeight="true" outlineLevel="0" collapsed="false">
      <c r="A18" s="13" t="s">
        <v>91</v>
      </c>
      <c r="B18" s="13"/>
      <c r="C18" s="13"/>
      <c r="D18" s="13"/>
      <c r="E18" s="13"/>
      <c r="F18" s="13"/>
      <c r="G18" s="13"/>
      <c r="H18" s="13"/>
    </row>
    <row r="19" customFormat="false" ht="30" hidden="false" customHeight="true" outlineLevel="0" collapsed="false">
      <c r="A19" s="10" t="s">
        <v>92</v>
      </c>
      <c r="B19" s="10" t="s">
        <v>93</v>
      </c>
      <c r="C19" s="10" t="s">
        <v>94</v>
      </c>
      <c r="D19" s="10" t="s">
        <v>95</v>
      </c>
      <c r="E19" s="10" t="s">
        <v>96</v>
      </c>
      <c r="F19" s="10" t="s">
        <v>97</v>
      </c>
      <c r="G19" s="10" t="s">
        <v>98</v>
      </c>
      <c r="H19" s="10" t="s">
        <v>63</v>
      </c>
    </row>
    <row r="20" customFormat="false" ht="15" hidden="false" customHeight="false" outlineLevel="0" collapsed="false">
      <c r="A20" s="5" t="s">
        <v>99</v>
      </c>
      <c r="B20" s="20"/>
      <c r="C20" s="17"/>
      <c r="D20" s="17"/>
      <c r="E20" s="19"/>
      <c r="F20" s="18"/>
      <c r="G20" s="21" t="str">
        <f aca="false">IF(E20="","",IF(D20="Employee",E20*(1+F20),E20))</f>
        <v/>
      </c>
      <c r="H20" s="22" t="str">
        <f aca="false">IF(AND(E20&lt;&gt;"",D20=""),"Choose Employee or Subcontractor",IF(AND(D20="Subcontractor",F20&lt;&gt;""),"On-cost % ignored for subcontractors",""))</f>
        <v/>
      </c>
    </row>
    <row r="21" customFormat="false" ht="15" hidden="false" customHeight="false" outlineLevel="0" collapsed="false">
      <c r="A21" s="5" t="s">
        <v>100</v>
      </c>
      <c r="B21" s="20"/>
      <c r="C21" s="17"/>
      <c r="D21" s="17"/>
      <c r="E21" s="19"/>
      <c r="F21" s="18"/>
      <c r="G21" s="21" t="str">
        <f aca="false">IF(E21="","",IF(D21="Employee",E21*(1+F21),E21))</f>
        <v/>
      </c>
      <c r="H21" s="22" t="str">
        <f aca="false">IF(AND(E21&lt;&gt;"",D21=""),"Choose Employee or Subcontractor",IF(AND(D21="Subcontractor",F21&lt;&gt;""),"On-cost % ignored for subcontractors",""))</f>
        <v/>
      </c>
    </row>
    <row r="22" customFormat="false" ht="15" hidden="false" customHeight="false" outlineLevel="0" collapsed="false">
      <c r="A22" s="5" t="s">
        <v>101</v>
      </c>
      <c r="B22" s="20"/>
      <c r="C22" s="17"/>
      <c r="D22" s="17"/>
      <c r="E22" s="19"/>
      <c r="F22" s="18"/>
      <c r="G22" s="21" t="str">
        <f aca="false">IF(E22="","",IF(D22="Employee",E22*(1+F22),E22))</f>
        <v/>
      </c>
      <c r="H22" s="22" t="str">
        <f aca="false">IF(AND(E22&lt;&gt;"",D22=""),"Choose Employee or Subcontractor",IF(AND(D22="Subcontractor",F22&lt;&gt;""),"On-cost % ignored for subcontractors",""))</f>
        <v/>
      </c>
    </row>
    <row r="23" customFormat="false" ht="15" hidden="false" customHeight="false" outlineLevel="0" collapsed="false">
      <c r="A23" s="5" t="s">
        <v>102</v>
      </c>
      <c r="B23" s="20"/>
      <c r="C23" s="17"/>
      <c r="D23" s="17"/>
      <c r="E23" s="19"/>
      <c r="F23" s="18"/>
      <c r="G23" s="21" t="str">
        <f aca="false">IF(E23="","",IF(D23="Employee",E23*(1+F23),E23))</f>
        <v/>
      </c>
      <c r="H23" s="22" t="str">
        <f aca="false">IF(AND(E23&lt;&gt;"",D23=""),"Choose Employee or Subcontractor",IF(AND(D23="Subcontractor",F23&lt;&gt;""),"On-cost % ignored for subcontractors",""))</f>
        <v/>
      </c>
    </row>
    <row r="24" customFormat="false" ht="15" hidden="false" customHeight="false" outlineLevel="0" collapsed="false">
      <c r="A24" s="5" t="s">
        <v>103</v>
      </c>
      <c r="B24" s="20"/>
      <c r="C24" s="17"/>
      <c r="D24" s="17"/>
      <c r="E24" s="19"/>
      <c r="F24" s="18"/>
      <c r="G24" s="21" t="str">
        <f aca="false">IF(E24="","",IF(D24="Employee",E24*(1+F24),E24))</f>
        <v/>
      </c>
      <c r="H24" s="22" t="str">
        <f aca="false">IF(AND(E24&lt;&gt;"",D24=""),"Choose Employee or Subcontractor",IF(AND(D24="Subcontractor",F24&lt;&gt;""),"On-cost % ignored for subcontractors",""))</f>
        <v/>
      </c>
    </row>
    <row r="25" customFormat="false" ht="15" hidden="false" customHeight="false" outlineLevel="0" collapsed="false">
      <c r="A25" s="5" t="s">
        <v>104</v>
      </c>
      <c r="B25" s="20"/>
      <c r="C25" s="17"/>
      <c r="D25" s="17"/>
      <c r="E25" s="19"/>
      <c r="F25" s="18"/>
      <c r="G25" s="21" t="str">
        <f aca="false">IF(E25="","",IF(D25="Employee",E25*(1+F25),E25))</f>
        <v/>
      </c>
      <c r="H25" s="22" t="str">
        <f aca="false">IF(AND(E25&lt;&gt;"",D25=""),"Choose Employee or Subcontractor",IF(AND(D25="Subcontractor",F25&lt;&gt;""),"On-cost % ignored for subcontractors",""))</f>
        <v/>
      </c>
    </row>
    <row r="26" customFormat="false" ht="15" hidden="false" customHeight="false" outlineLevel="0" collapsed="false">
      <c r="A26" s="5" t="s">
        <v>105</v>
      </c>
      <c r="B26" s="20"/>
      <c r="C26" s="17"/>
      <c r="D26" s="17"/>
      <c r="E26" s="19"/>
      <c r="F26" s="18"/>
      <c r="G26" s="21" t="str">
        <f aca="false">IF(E26="","",IF(D26="Employee",E26*(1+F26),E26))</f>
        <v/>
      </c>
      <c r="H26" s="22" t="str">
        <f aca="false">IF(AND(E26&lt;&gt;"",D26=""),"Choose Employee or Subcontractor",IF(AND(D26="Subcontractor",F26&lt;&gt;""),"On-cost % ignored for subcontractors",""))</f>
        <v/>
      </c>
    </row>
    <row r="27" customFormat="false" ht="15" hidden="false" customHeight="false" outlineLevel="0" collapsed="false">
      <c r="A27" s="5" t="s">
        <v>106</v>
      </c>
      <c r="B27" s="20"/>
      <c r="C27" s="17"/>
      <c r="D27" s="17"/>
      <c r="E27" s="19"/>
      <c r="F27" s="18"/>
      <c r="G27" s="21" t="str">
        <f aca="false">IF(E27="","",IF(D27="Employee",E27*(1+F27),E27))</f>
        <v/>
      </c>
      <c r="H27" s="22" t="str">
        <f aca="false">IF(AND(E27&lt;&gt;"",D27=""),"Choose Employee or Subcontractor",IF(AND(D27="Subcontractor",F27&lt;&gt;""),"On-cost % ignored for subcontractors",""))</f>
        <v/>
      </c>
    </row>
    <row r="29" customFormat="false" ht="19.5" hidden="false" customHeight="true" outlineLevel="0" collapsed="false">
      <c r="A29" s="4" t="s">
        <v>107</v>
      </c>
      <c r="B29" s="4"/>
      <c r="C29" s="4"/>
      <c r="D29" s="4"/>
      <c r="E29" s="4"/>
      <c r="F29" s="4"/>
      <c r="G29" s="4"/>
      <c r="H29" s="4"/>
    </row>
    <row r="30" customFormat="false" ht="30" hidden="false" customHeight="true" outlineLevel="0" collapsed="false">
      <c r="A30" s="23" t="s">
        <v>108</v>
      </c>
      <c r="B30" s="23"/>
      <c r="C30" s="23"/>
      <c r="D30" s="23"/>
      <c r="E30" s="23"/>
      <c r="F30" s="23"/>
      <c r="G30" s="23"/>
      <c r="H30" s="23"/>
    </row>
    <row r="31" customFormat="false" ht="18" hidden="false" customHeight="true" outlineLevel="0" collapsed="false">
      <c r="A31" s="11" t="s">
        <v>109</v>
      </c>
      <c r="B31" s="5" t="s">
        <v>110</v>
      </c>
      <c r="C31" s="19"/>
      <c r="D31" s="13" t="s">
        <v>111</v>
      </c>
      <c r="E31" s="13"/>
      <c r="F31" s="13"/>
      <c r="G31" s="13"/>
      <c r="H31" s="13"/>
    </row>
    <row r="32" customFormat="false" ht="30" hidden="false" customHeight="true" outlineLevel="0" collapsed="false">
      <c r="A32" s="11" t="s">
        <v>109</v>
      </c>
      <c r="B32" s="5" t="s">
        <v>112</v>
      </c>
      <c r="C32" s="19"/>
      <c r="D32" s="13" t="s">
        <v>113</v>
      </c>
      <c r="E32" s="13"/>
      <c r="F32" s="13"/>
      <c r="G32" s="13"/>
      <c r="H32" s="13"/>
    </row>
    <row r="33" customFormat="false" ht="30" hidden="false" customHeight="true" outlineLevel="0" collapsed="false">
      <c r="A33" s="11" t="s">
        <v>109</v>
      </c>
      <c r="B33" s="5" t="s">
        <v>114</v>
      </c>
      <c r="C33" s="19"/>
      <c r="D33" s="13" t="s">
        <v>115</v>
      </c>
      <c r="E33" s="13"/>
      <c r="F33" s="13"/>
      <c r="G33" s="13"/>
      <c r="H33" s="13"/>
    </row>
    <row r="35" customFormat="false" ht="19.5" hidden="false" customHeight="true" outlineLevel="0" collapsed="false">
      <c r="A35" s="4" t="s">
        <v>116</v>
      </c>
      <c r="B35" s="4"/>
      <c r="C35" s="4"/>
      <c r="D35" s="4"/>
      <c r="E35" s="4"/>
      <c r="F35" s="4"/>
      <c r="G35" s="4"/>
      <c r="H35" s="4"/>
    </row>
    <row r="36" customFormat="false" ht="30" hidden="false" customHeight="true" outlineLevel="0" collapsed="false">
      <c r="A36" s="11" t="s">
        <v>117</v>
      </c>
      <c r="B36" s="5" t="s">
        <v>118</v>
      </c>
      <c r="C36" s="19"/>
      <c r="D36" s="13" t="s">
        <v>119</v>
      </c>
      <c r="E36" s="13"/>
      <c r="F36" s="13"/>
      <c r="G36" s="13"/>
      <c r="H36" s="13"/>
    </row>
    <row r="37" customFormat="false" ht="18" hidden="false" customHeight="true" outlineLevel="0" collapsed="false">
      <c r="A37" s="11" t="s">
        <v>117</v>
      </c>
      <c r="B37" s="5" t="s">
        <v>120</v>
      </c>
      <c r="C37" s="19"/>
      <c r="D37" s="13" t="s">
        <v>121</v>
      </c>
      <c r="E37" s="13"/>
      <c r="F37" s="13"/>
      <c r="G37" s="13"/>
      <c r="H37" s="13"/>
    </row>
    <row r="38" customFormat="false" ht="30" hidden="false" customHeight="true" outlineLevel="0" collapsed="false">
      <c r="A38" s="11" t="s">
        <v>117</v>
      </c>
      <c r="B38" s="5" t="s">
        <v>122</v>
      </c>
      <c r="C38" s="19"/>
      <c r="D38" s="13" t="s">
        <v>123</v>
      </c>
      <c r="E38" s="13"/>
      <c r="F38" s="13"/>
      <c r="G38" s="13"/>
      <c r="H38" s="13"/>
    </row>
    <row r="39" customFormat="false" ht="15" hidden="false" customHeight="true" outlineLevel="0" collapsed="false">
      <c r="A39" s="13" t="s">
        <v>124</v>
      </c>
      <c r="B39" s="13"/>
      <c r="C39" s="13"/>
      <c r="D39" s="13"/>
      <c r="E39" s="13"/>
      <c r="F39" s="13"/>
      <c r="G39" s="13"/>
      <c r="H39" s="13"/>
    </row>
    <row r="41" customFormat="false" ht="19.5" hidden="false" customHeight="true" outlineLevel="0" collapsed="false">
      <c r="A41" s="4" t="s">
        <v>125</v>
      </c>
      <c r="B41" s="4"/>
      <c r="C41" s="4"/>
      <c r="D41" s="4"/>
      <c r="E41" s="4"/>
      <c r="F41" s="4"/>
      <c r="G41" s="4"/>
      <c r="H41" s="4"/>
    </row>
    <row r="42" customFormat="false" ht="30" hidden="false" customHeight="true" outlineLevel="0" collapsed="false">
      <c r="A42" s="11" t="s">
        <v>126</v>
      </c>
      <c r="B42" s="5" t="s">
        <v>127</v>
      </c>
      <c r="C42" s="19"/>
      <c r="D42" s="13" t="s">
        <v>128</v>
      </c>
      <c r="E42" s="13"/>
      <c r="F42" s="13"/>
      <c r="G42" s="13"/>
      <c r="H42" s="13"/>
    </row>
    <row r="43" customFormat="false" ht="30" hidden="false" customHeight="true" outlineLevel="0" collapsed="false">
      <c r="A43" s="11" t="s">
        <v>126</v>
      </c>
      <c r="B43" s="5" t="s">
        <v>129</v>
      </c>
      <c r="C43" s="19"/>
      <c r="D43" s="13" t="s">
        <v>130</v>
      </c>
      <c r="E43" s="13"/>
      <c r="F43" s="13"/>
      <c r="G43" s="13"/>
      <c r="H43" s="13"/>
    </row>
    <row r="44" customFormat="false" ht="18" hidden="false" customHeight="true" outlineLevel="0" collapsed="false">
      <c r="A44" s="11" t="s">
        <v>126</v>
      </c>
      <c r="B44" s="5" t="s">
        <v>131</v>
      </c>
      <c r="C44" s="19"/>
      <c r="D44" s="13" t="s">
        <v>132</v>
      </c>
      <c r="E44" s="13"/>
      <c r="F44" s="13"/>
      <c r="G44" s="13"/>
      <c r="H44" s="13"/>
    </row>
    <row r="45" customFormat="false" ht="18" hidden="false" customHeight="true" outlineLevel="0" collapsed="false">
      <c r="A45" s="11" t="s">
        <v>126</v>
      </c>
      <c r="B45" s="5" t="s">
        <v>133</v>
      </c>
      <c r="C45" s="19"/>
      <c r="D45" s="13" t="s">
        <v>134</v>
      </c>
      <c r="E45" s="13"/>
      <c r="F45" s="13"/>
      <c r="G45" s="13"/>
      <c r="H45" s="13"/>
    </row>
    <row r="46" customFormat="false" ht="18" hidden="false" customHeight="true" outlineLevel="0" collapsed="false">
      <c r="A46" s="11" t="s">
        <v>126</v>
      </c>
      <c r="B46" s="5" t="s">
        <v>135</v>
      </c>
      <c r="C46" s="19"/>
      <c r="D46" s="13" t="s">
        <v>136</v>
      </c>
      <c r="E46" s="13"/>
      <c r="F46" s="13"/>
      <c r="G46" s="13"/>
      <c r="H46" s="13"/>
    </row>
    <row r="47" customFormat="false" ht="30" hidden="false" customHeight="true" outlineLevel="0" collapsed="false">
      <c r="A47" s="11" t="s">
        <v>126</v>
      </c>
      <c r="B47" s="5" t="s">
        <v>137</v>
      </c>
      <c r="C47" s="19"/>
      <c r="D47" s="13" t="s">
        <v>138</v>
      </c>
      <c r="E47" s="13"/>
      <c r="F47" s="13"/>
      <c r="G47" s="13"/>
      <c r="H47" s="13"/>
    </row>
    <row r="48" customFormat="false" ht="18" hidden="false" customHeight="true" outlineLevel="0" collapsed="false">
      <c r="A48" s="11" t="s">
        <v>126</v>
      </c>
      <c r="B48" s="5" t="s">
        <v>139</v>
      </c>
      <c r="C48" s="19"/>
      <c r="D48" s="13" t="s">
        <v>140</v>
      </c>
      <c r="E48" s="13"/>
      <c r="F48" s="13"/>
      <c r="G48" s="13"/>
      <c r="H48" s="13"/>
    </row>
    <row r="49" customFormat="false" ht="18" hidden="false" customHeight="true" outlineLevel="0" collapsed="false">
      <c r="A49" s="11" t="s">
        <v>126</v>
      </c>
      <c r="B49" s="5" t="s">
        <v>141</v>
      </c>
      <c r="C49" s="19"/>
      <c r="D49" s="13" t="s">
        <v>142</v>
      </c>
      <c r="E49" s="13"/>
      <c r="F49" s="13"/>
      <c r="G49" s="13"/>
      <c r="H49" s="13"/>
    </row>
    <row r="50" customFormat="false" ht="18" hidden="false" customHeight="true" outlineLevel="0" collapsed="false">
      <c r="A50" s="11" t="s">
        <v>126</v>
      </c>
      <c r="B50" s="5" t="s">
        <v>143</v>
      </c>
      <c r="C50" s="19"/>
      <c r="D50" s="13" t="s">
        <v>144</v>
      </c>
      <c r="E50" s="13"/>
      <c r="F50" s="13"/>
      <c r="G50" s="13"/>
      <c r="H50" s="13"/>
    </row>
    <row r="51" customFormat="false" ht="18" hidden="false" customHeight="true" outlineLevel="0" collapsed="false">
      <c r="A51" s="11" t="s">
        <v>126</v>
      </c>
      <c r="B51" s="5" t="s">
        <v>145</v>
      </c>
      <c r="C51" s="19"/>
      <c r="D51" s="13" t="s">
        <v>146</v>
      </c>
      <c r="E51" s="13"/>
      <c r="F51" s="13"/>
      <c r="G51" s="13"/>
      <c r="H51" s="13"/>
    </row>
    <row r="52" customFormat="false" ht="18" hidden="false" customHeight="true" outlineLevel="0" collapsed="false">
      <c r="A52" s="11" t="s">
        <v>126</v>
      </c>
      <c r="B52" s="5" t="s">
        <v>147</v>
      </c>
      <c r="C52" s="19"/>
      <c r="D52" s="13" t="s">
        <v>148</v>
      </c>
      <c r="E52" s="13"/>
      <c r="F52" s="13"/>
      <c r="G52" s="13"/>
      <c r="H52" s="13"/>
    </row>
    <row r="53" customFormat="false" ht="18" hidden="false" customHeight="true" outlineLevel="0" collapsed="false">
      <c r="A53" s="11" t="s">
        <v>126</v>
      </c>
      <c r="B53" s="5" t="s">
        <v>149</v>
      </c>
      <c r="C53" s="19"/>
      <c r="D53" s="13" t="s">
        <v>150</v>
      </c>
      <c r="E53" s="13"/>
      <c r="F53" s="13"/>
      <c r="G53" s="13"/>
      <c r="H53" s="13"/>
    </row>
    <row r="54" customFormat="false" ht="30" hidden="false" customHeight="true" outlineLevel="0" collapsed="false">
      <c r="A54" s="11" t="s">
        <v>126</v>
      </c>
      <c r="B54" s="5" t="s">
        <v>151</v>
      </c>
      <c r="C54" s="19"/>
      <c r="D54" s="13" t="s">
        <v>152</v>
      </c>
      <c r="E54" s="13"/>
      <c r="F54" s="13"/>
      <c r="G54" s="13"/>
      <c r="H54" s="13"/>
    </row>
    <row r="55" customFormat="false" ht="30" hidden="false" customHeight="true" outlineLevel="0" collapsed="false">
      <c r="A55" s="11" t="s">
        <v>126</v>
      </c>
      <c r="B55" s="5" t="s">
        <v>153</v>
      </c>
      <c r="C55" s="19"/>
      <c r="D55" s="13" t="s">
        <v>154</v>
      </c>
      <c r="E55" s="13"/>
      <c r="F55" s="13"/>
      <c r="G55" s="13"/>
      <c r="H55" s="13"/>
    </row>
    <row r="56" customFormat="false" ht="18" hidden="false" customHeight="true" outlineLevel="0" collapsed="false">
      <c r="A56" s="11" t="s">
        <v>126</v>
      </c>
      <c r="B56" s="5" t="s">
        <v>155</v>
      </c>
      <c r="C56" s="19"/>
      <c r="D56" s="13" t="s">
        <v>156</v>
      </c>
      <c r="E56" s="13"/>
      <c r="F56" s="13"/>
      <c r="G56" s="13"/>
      <c r="H56" s="13"/>
    </row>
    <row r="57" customFormat="false" ht="15" hidden="false" customHeight="true" outlineLevel="0" collapsed="false">
      <c r="B57" s="5" t="s">
        <v>157</v>
      </c>
      <c r="C57" s="24" t="n">
        <f aca="false">SUM(C42:C56)</f>
        <v>0</v>
      </c>
      <c r="D57" s="13" t="s">
        <v>158</v>
      </c>
      <c r="E57" s="13"/>
      <c r="F57" s="13"/>
      <c r="G57" s="13"/>
      <c r="H57" s="13"/>
    </row>
  </sheetData>
  <sheetProtection sheet="true" formatColumns="false" formatRows="false"/>
  <mergeCells count="43">
    <mergeCell ref="A2:H2"/>
    <mergeCell ref="D3:H3"/>
    <mergeCell ref="A4:H4"/>
    <mergeCell ref="D5:H5"/>
    <mergeCell ref="D6:H6"/>
    <mergeCell ref="D7:H7"/>
    <mergeCell ref="D8:H8"/>
    <mergeCell ref="D9:H9"/>
    <mergeCell ref="D10:H10"/>
    <mergeCell ref="D11:H11"/>
    <mergeCell ref="D12:H12"/>
    <mergeCell ref="D13:H13"/>
    <mergeCell ref="D14:H14"/>
    <mergeCell ref="D15:H15"/>
    <mergeCell ref="A17:H17"/>
    <mergeCell ref="A18:H18"/>
    <mergeCell ref="A29:H29"/>
    <mergeCell ref="A30:H30"/>
    <mergeCell ref="D31:H31"/>
    <mergeCell ref="D32:H32"/>
    <mergeCell ref="D33:H33"/>
    <mergeCell ref="A35:H35"/>
    <mergeCell ref="D36:H36"/>
    <mergeCell ref="D37:H37"/>
    <mergeCell ref="D38:H38"/>
    <mergeCell ref="A39:H39"/>
    <mergeCell ref="A41:H41"/>
    <mergeCell ref="D42:H42"/>
    <mergeCell ref="D43:H43"/>
    <mergeCell ref="D44:H44"/>
    <mergeCell ref="D45:H45"/>
    <mergeCell ref="D46:H46"/>
    <mergeCell ref="D47:H47"/>
    <mergeCell ref="D48:H48"/>
    <mergeCell ref="D49:H49"/>
    <mergeCell ref="D50:H50"/>
    <mergeCell ref="D51:H51"/>
    <mergeCell ref="D52:H52"/>
    <mergeCell ref="D53:H53"/>
    <mergeCell ref="D54:H54"/>
    <mergeCell ref="D55:H55"/>
    <mergeCell ref="D56:H56"/>
    <mergeCell ref="D57:H57"/>
  </mergeCells>
  <conditionalFormatting sqref="H20:H27">
    <cfRule type="expression" priority="2" aboveAverage="0" equalAverage="0" bottom="0" percent="0" rank="0" text="" dxfId="0">
      <formula>AND($E20&lt;&gt;"",$D20="")</formula>
    </cfRule>
  </conditionalFormatting>
  <dataValidations count="15">
    <dataValidation allowBlank="true" error="Enter whole days between 1 and 366." errorStyle="stop" errorTitle="Check this number" operator="between" showDropDown="false" showErrorMessage="true" showInputMessage="false" sqref="C6" type="whole">
      <formula1>1</formula1>
      <formula2>366</formula2>
    </dataValidation>
    <dataValidation allowBlank="true" error="Enter hours between 1 and 24." errorStyle="stop" errorTitle="Check this number" operator="between" showDropDown="false" showErrorMessage="true" showInputMessage="false" sqref="C7" type="decimal">
      <formula1>1</formula1>
      <formula2>24</formula2>
    </dataValidation>
    <dataValidation allowBlank="true" error="Enter a percentage between 5% and 100%." errorStyle="stop" errorTitle="Check this number" operator="between" showDropDown="false" showErrorMessage="true" showInputMessage="false" sqref="C8" type="decimal">
      <formula1>0.05</formula1>
      <formula2>1</formula2>
    </dataValidation>
    <dataValidation allowBlank="true" error="Enter a whole number of crews, 1 or more." errorStyle="stop" errorTitle="Check this number" operator="between" showDropDown="false" showErrorMessage="true" showInputMessage="false" sqref="C9" type="whole">
      <formula1>1</formula1>
      <formula2>100</formula2>
    </dataValidation>
    <dataValidation allowBlank="true" error="Choose one of: Margin, Markup" errorStyle="stop" errorTitle="Please pick from the list" operator="between" showDropDown="false" showErrorMessage="true" showInputMessage="false" sqref="C10" type="list">
      <formula1>"Margin,Markup"</formula1>
      <formula2>0</formula2>
    </dataValidation>
    <dataValidation allowBlank="true" error="Enter a percentage between 0% and 90%." errorStyle="stop" errorTitle="Check this number" operator="between" showDropDown="false" showErrorMessage="true" showInputMessage="false" sqref="C11" type="decimal">
      <formula1>0</formula1>
      <formula2>0.9</formula2>
    </dataValidation>
    <dataValidation allowBlank="true" error="Choose one of: Yes, No" errorStyle="stop" errorTitle="Please pick from the list" operator="between" showDropDown="false" showErrorMessage="true" showInputMessage="false" sqref="C12 C14" type="list">
      <formula1>"Yes,No"</formula1>
      <formula2>0</formula2>
    </dataValidation>
    <dataValidation allowBlank="true" error="Enter a percentage between 0% and 50%." errorStyle="stop" errorTitle="Check this number" operator="between" showDropDown="false" showErrorMessage="true" showInputMessage="false" sqref="C13" type="decimal">
      <formula1>0</formula1>
      <formula2>0.5</formula2>
    </dataValidation>
    <dataValidation allowBlank="true" error="Enter an amount of £0 or more." errorStyle="stop" errorTitle="Check this number" operator="between" showDropDown="false" showErrorMessage="true" showInputMessage="false" sqref="C15" type="decimal">
      <formula1>0</formula1>
      <formula2>1000000</formula2>
    </dataValidation>
    <dataValidation allowBlank="true" error="Choose one of: Climber, Ground, Team Leader, Other" errorStyle="stop" errorTitle="Please pick from the list" operator="between" showDropDown="false" showErrorMessage="true" showInputMessage="false" sqref="C20:C27" type="list">
      <formula1>"Climber,Ground,Team Leader,Other"</formula1>
      <formula2>0</formula2>
    </dataValidation>
    <dataValidation allowBlank="true" error="Choose one of: Employee, Subcontractor" errorStyle="stop" errorTitle="Please pick from the list" operator="between" showDropDown="false" showErrorMessage="true" showInputMessage="false" sqref="D20:D27" type="list">
      <formula1>"Employee,Subcontractor"</formula1>
      <formula2>0</formula2>
    </dataValidation>
    <dataValidation allowBlank="true" error="Enter a day rate between £0 and £5,000." errorStyle="stop" errorTitle="Check this number" operator="between" showDropDown="false" showErrorMessage="true" showInputMessage="false" sqref="E20:E27" type="decimal">
      <formula1>0</formula1>
      <formula2>5000</formula2>
    </dataValidation>
    <dataValidation allowBlank="true" error="Enter a percentage between 0% and 100%." errorStyle="stop" errorTitle="Check this number" operator="between" showDropDown="false" showErrorMessage="true" showInputMessage="false" sqref="F20:F27" type="decimal">
      <formula1>0</formula1>
      <formula2>1</formula2>
    </dataValidation>
    <dataValidation allowBlank="true" error="Enter £0 or more." errorStyle="stop" errorTitle="Check this number" operator="between" showDropDown="false" showErrorMessage="true" showInputMessage="false" sqref="C31:C33" type="decimal">
      <formula1>0</formula1>
      <formula2>10000</formula2>
    </dataValidation>
    <dataValidation allowBlank="true" error="Enter £0 or more." errorStyle="stop" errorTitle="Check this number" operator="between" showDropDown="false" showErrorMessage="true" showInputMessage="false" sqref="C36:C38 C42:C56" type="decimal">
      <formula1>0</formula1>
      <formula2>10000000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6"/>
    <col collapsed="false" customWidth="true" hidden="false" outlineLevel="0" max="4" min="4" style="0" width="70"/>
  </cols>
  <sheetData>
    <row r="1" customFormat="false" ht="25.5" hidden="false" customHeight="true" outlineLevel="0" collapsed="false">
      <c r="A1" s="8" t="s">
        <v>159</v>
      </c>
    </row>
    <row r="2" customFormat="false" ht="27.75" hidden="false" customHeight="true" outlineLevel="0" collapsed="false">
      <c r="A2" s="9" t="s">
        <v>160</v>
      </c>
      <c r="B2" s="9"/>
      <c r="C2" s="9"/>
      <c r="D2" s="9"/>
    </row>
    <row r="3" customFormat="false" ht="21.75" hidden="false" customHeight="true" outlineLevel="0" collapsed="false">
      <c r="A3" s="10" t="s">
        <v>61</v>
      </c>
      <c r="B3" s="10" t="s">
        <v>62</v>
      </c>
      <c r="C3" s="10" t="s">
        <v>161</v>
      </c>
      <c r="D3" s="10" t="s">
        <v>162</v>
      </c>
    </row>
    <row r="4" customFormat="false" ht="19.5" hidden="false" customHeight="true" outlineLevel="0" collapsed="false">
      <c r="A4" s="4" t="s">
        <v>163</v>
      </c>
      <c r="B4" s="4"/>
      <c r="C4" s="4"/>
      <c r="D4" s="4"/>
    </row>
    <row r="5" customFormat="false" ht="18" hidden="false" customHeight="true" outlineLevel="0" collapsed="false">
      <c r="A5" s="25" t="s">
        <v>164</v>
      </c>
      <c r="B5" s="26" t="n">
        <f aca="false">Inputs!$C$6</f>
        <v>220</v>
      </c>
      <c r="C5" s="27"/>
      <c r="D5" s="13" t="s">
        <v>165</v>
      </c>
    </row>
    <row r="6" customFormat="false" ht="18" hidden="false" customHeight="true" outlineLevel="0" collapsed="false">
      <c r="A6" s="25" t="s">
        <v>166</v>
      </c>
      <c r="B6" s="28" t="n">
        <f aca="false">Inputs!$C$7</f>
        <v>8</v>
      </c>
      <c r="C6" s="27"/>
      <c r="D6" s="13" t="s">
        <v>165</v>
      </c>
    </row>
    <row r="7" customFormat="false" ht="18" hidden="false" customHeight="true" outlineLevel="0" collapsed="false">
      <c r="A7" s="25" t="s">
        <v>167</v>
      </c>
      <c r="B7" s="29" t="n">
        <f aca="false">Inputs!$C$8</f>
        <v>0.75</v>
      </c>
      <c r="C7" s="27"/>
      <c r="D7" s="13" t="s">
        <v>165</v>
      </c>
    </row>
    <row r="8" customFormat="false" ht="18" hidden="false" customHeight="true" outlineLevel="0" collapsed="false">
      <c r="A8" s="25" t="s">
        <v>168</v>
      </c>
      <c r="B8" s="26" t="n">
        <f aca="false">MAX(1,Inputs!$C$9)</f>
        <v>1</v>
      </c>
      <c r="C8" s="27"/>
      <c r="D8" s="13" t="s">
        <v>169</v>
      </c>
    </row>
    <row r="9" customFormat="false" ht="18" hidden="false" customHeight="true" outlineLevel="0" collapsed="false">
      <c r="A9" s="5" t="s">
        <v>170</v>
      </c>
      <c r="B9" s="30" t="n">
        <f aca="false">Calcs!$B$5*Calcs!$B$7</f>
        <v>165</v>
      </c>
      <c r="C9" s="27"/>
      <c r="D9" s="13" t="s">
        <v>171</v>
      </c>
    </row>
    <row r="10" customFormat="false" ht="18" hidden="false" customHeight="true" outlineLevel="0" collapsed="false">
      <c r="A10" s="25" t="s">
        <v>172</v>
      </c>
      <c r="B10" s="31" t="n">
        <f aca="false">Calcs!$B$9*Calcs!$B$6</f>
        <v>1320</v>
      </c>
      <c r="C10" s="27"/>
      <c r="D10" s="13" t="s">
        <v>173</v>
      </c>
    </row>
    <row r="11" customFormat="false" ht="19.5" hidden="false" customHeight="true" outlineLevel="0" collapsed="false">
      <c r="A11" s="4" t="s">
        <v>174</v>
      </c>
      <c r="B11" s="4"/>
      <c r="C11" s="4"/>
      <c r="D11" s="4"/>
    </row>
    <row r="12" customFormat="false" ht="18" hidden="false" customHeight="true" outlineLevel="0" collapsed="false">
      <c r="A12" s="25" t="s">
        <v>175</v>
      </c>
      <c r="B12" s="27" t="str">
        <f aca="false">IF(Inputs!$C$10="","Margin",Inputs!$C$10)</f>
        <v>Margin</v>
      </c>
      <c r="C12" s="27"/>
      <c r="D12" s="13" t="s">
        <v>176</v>
      </c>
    </row>
    <row r="13" customFormat="false" ht="18" hidden="false" customHeight="true" outlineLevel="0" collapsed="false">
      <c r="A13" s="25" t="s">
        <v>177</v>
      </c>
      <c r="B13" s="32" t="n">
        <f aca="false">N(Inputs!$C$11)</f>
        <v>0.2</v>
      </c>
      <c r="C13" s="27"/>
      <c r="D13" s="13" t="s">
        <v>165</v>
      </c>
    </row>
    <row r="14" customFormat="false" ht="30" hidden="false" customHeight="true" outlineLevel="0" collapsed="false">
      <c r="A14" s="5" t="s">
        <v>178</v>
      </c>
      <c r="B14" s="33" t="n">
        <f aca="false">IF(Calcs!$B$12="Markup",1+Calcs!$B$13,1/(1-Calcs!$B$13))</f>
        <v>1.25</v>
      </c>
      <c r="C14" s="27"/>
      <c r="D14" s="13" t="s">
        <v>179</v>
      </c>
    </row>
    <row r="15" customFormat="false" ht="18" hidden="false" customHeight="true" outlineLevel="0" collapsed="false">
      <c r="A15" s="25" t="s">
        <v>180</v>
      </c>
      <c r="B15" s="32" t="n">
        <f aca="false">1-1/Calcs!$B$14</f>
        <v>0.2</v>
      </c>
      <c r="C15" s="27"/>
      <c r="D15" s="13" t="s">
        <v>181</v>
      </c>
    </row>
    <row r="16" customFormat="false" ht="18" hidden="false" customHeight="true" outlineLevel="0" collapsed="false">
      <c r="A16" s="25" t="s">
        <v>182</v>
      </c>
      <c r="B16" s="32" t="n">
        <f aca="false">Calcs!$B$14-1</f>
        <v>0.25</v>
      </c>
      <c r="C16" s="27"/>
      <c r="D16" s="13" t="s">
        <v>183</v>
      </c>
    </row>
    <row r="17" customFormat="false" ht="19.5" hidden="false" customHeight="true" outlineLevel="0" collapsed="false">
      <c r="A17" s="4" t="s">
        <v>184</v>
      </c>
      <c r="B17" s="4"/>
      <c r="C17" s="4"/>
      <c r="D17" s="4"/>
    </row>
    <row r="18" customFormat="false" ht="18" hidden="false" customHeight="true" outlineLevel="0" collapsed="false">
      <c r="A18" s="25" t="s">
        <v>185</v>
      </c>
      <c r="B18" s="27" t="str">
        <f aca="false">IF(Inputs!$C$12="","NOT CHOSEN",Inputs!$C$12)</f>
        <v>NOT CHOSEN</v>
      </c>
      <c r="C18" s="27"/>
      <c r="D18" s="13" t="s">
        <v>186</v>
      </c>
    </row>
    <row r="19" customFormat="false" ht="18" hidden="false" customHeight="true" outlineLevel="0" collapsed="false">
      <c r="A19" s="25" t="s">
        <v>187</v>
      </c>
      <c r="B19" s="34" t="n">
        <f aca="false">IF(Calcs!$B$18="Yes",1+Inputs!$C$13,1)</f>
        <v>1</v>
      </c>
      <c r="C19" s="27"/>
      <c r="D19" s="13" t="s">
        <v>188</v>
      </c>
    </row>
    <row r="20" customFormat="false" ht="19.5" hidden="false" customHeight="true" outlineLevel="0" collapsed="false">
      <c r="A20" s="4" t="s">
        <v>189</v>
      </c>
      <c r="B20" s="4"/>
      <c r="C20" s="4"/>
      <c r="D20" s="4"/>
    </row>
    <row r="21" customFormat="false" ht="30" hidden="false" customHeight="true" outlineLevel="0" collapsed="false">
      <c r="A21" s="10" t="s">
        <v>190</v>
      </c>
      <c r="B21" s="10" t="s">
        <v>98</v>
      </c>
      <c r="C21" s="10" t="s">
        <v>191</v>
      </c>
      <c r="D21" s="10" t="s">
        <v>162</v>
      </c>
    </row>
    <row r="22" customFormat="false" ht="22.35" hidden="false" customHeight="false" outlineLevel="0" collapsed="false">
      <c r="A22" s="25" t="str">
        <f aca="false">IF(Inputs!$B$20="","Person 1",Inputs!$B$20)</f>
        <v>Person 1</v>
      </c>
      <c r="B22" s="21" t="n">
        <f aca="false">IF(Inputs!$E$20="",0,IF(Inputs!$D$20="Employee",Inputs!$E$20*(1+Inputs!$F$20),Inputs!$E$20))</f>
        <v>0</v>
      </c>
      <c r="C22" s="21" t="n">
        <f aca="false">IF(AND(Inputs!$D$20="Employee",Inputs!$C$14&lt;&gt;"No"),B22/Calcs!$B$7,B22)</f>
        <v>0</v>
      </c>
      <c r="D22" s="13" t="s">
        <v>192</v>
      </c>
    </row>
    <row r="23" customFormat="false" ht="15" hidden="false" customHeight="false" outlineLevel="0" collapsed="false">
      <c r="A23" s="25" t="str">
        <f aca="false">IF(Inputs!$B$21="","Person 2",Inputs!$B$21)</f>
        <v>Person 2</v>
      </c>
      <c r="B23" s="21" t="n">
        <f aca="false">IF(Inputs!$E$21="",0,IF(Inputs!$D$21="Employee",Inputs!$E$21*(1+Inputs!$F$21),Inputs!$E$21))</f>
        <v>0</v>
      </c>
      <c r="C23" s="21" t="n">
        <f aca="false">IF(AND(Inputs!$D$21="Employee",Inputs!$C$14&lt;&gt;"No"),B23/Calcs!$B$7,B23)</f>
        <v>0</v>
      </c>
      <c r="D23" s="13"/>
    </row>
    <row r="24" customFormat="false" ht="15" hidden="false" customHeight="false" outlineLevel="0" collapsed="false">
      <c r="A24" s="25" t="str">
        <f aca="false">IF(Inputs!$B$22="","Person 3",Inputs!$B$22)</f>
        <v>Person 3</v>
      </c>
      <c r="B24" s="21" t="n">
        <f aca="false">IF(Inputs!$E$22="",0,IF(Inputs!$D$22="Employee",Inputs!$E$22*(1+Inputs!$F$22),Inputs!$E$22))</f>
        <v>0</v>
      </c>
      <c r="C24" s="21" t="n">
        <f aca="false">IF(AND(Inputs!$D$22="Employee",Inputs!$C$14&lt;&gt;"No"),B24/Calcs!$B$7,B24)</f>
        <v>0</v>
      </c>
      <c r="D24" s="13"/>
    </row>
    <row r="25" customFormat="false" ht="15" hidden="false" customHeight="false" outlineLevel="0" collapsed="false">
      <c r="A25" s="25" t="str">
        <f aca="false">IF(Inputs!$B$23="","Person 4",Inputs!$B$23)</f>
        <v>Person 4</v>
      </c>
      <c r="B25" s="21" t="n">
        <f aca="false">IF(Inputs!$E$23="",0,IF(Inputs!$D$23="Employee",Inputs!$E$23*(1+Inputs!$F$23),Inputs!$E$23))</f>
        <v>0</v>
      </c>
      <c r="C25" s="21" t="n">
        <f aca="false">IF(AND(Inputs!$D$23="Employee",Inputs!$C$14&lt;&gt;"No"),B25/Calcs!$B$7,B25)</f>
        <v>0</v>
      </c>
      <c r="D25" s="13"/>
    </row>
    <row r="26" customFormat="false" ht="15" hidden="false" customHeight="false" outlineLevel="0" collapsed="false">
      <c r="A26" s="25" t="str">
        <f aca="false">IF(Inputs!$B$24="","Person 5",Inputs!$B$24)</f>
        <v>Person 5</v>
      </c>
      <c r="B26" s="21" t="n">
        <f aca="false">IF(Inputs!$E$24="",0,IF(Inputs!$D$24="Employee",Inputs!$E$24*(1+Inputs!$F$24),Inputs!$E$24))</f>
        <v>0</v>
      </c>
      <c r="C26" s="21" t="n">
        <f aca="false">IF(AND(Inputs!$D$24="Employee",Inputs!$C$14&lt;&gt;"No"),B26/Calcs!$B$7,B26)</f>
        <v>0</v>
      </c>
      <c r="D26" s="13"/>
    </row>
    <row r="27" customFormat="false" ht="15" hidden="false" customHeight="false" outlineLevel="0" collapsed="false">
      <c r="A27" s="25" t="str">
        <f aca="false">IF(Inputs!$B$25="","Person 6",Inputs!$B$25)</f>
        <v>Person 6</v>
      </c>
      <c r="B27" s="21" t="n">
        <f aca="false">IF(Inputs!$E$25="",0,IF(Inputs!$D$25="Employee",Inputs!$E$25*(1+Inputs!$F$25),Inputs!$E$25))</f>
        <v>0</v>
      </c>
      <c r="C27" s="21" t="n">
        <f aca="false">IF(AND(Inputs!$D$25="Employee",Inputs!$C$14&lt;&gt;"No"),B27/Calcs!$B$7,B27)</f>
        <v>0</v>
      </c>
      <c r="D27" s="13"/>
    </row>
    <row r="28" customFormat="false" ht="15" hidden="false" customHeight="false" outlineLevel="0" collapsed="false">
      <c r="A28" s="25" t="str">
        <f aca="false">IF(Inputs!$B$26="","Person 7",Inputs!$B$26)</f>
        <v>Person 7</v>
      </c>
      <c r="B28" s="21" t="n">
        <f aca="false">IF(Inputs!$E$26="",0,IF(Inputs!$D$26="Employee",Inputs!$E$26*(1+Inputs!$F$26),Inputs!$E$26))</f>
        <v>0</v>
      </c>
      <c r="C28" s="21" t="n">
        <f aca="false">IF(AND(Inputs!$D$26="Employee",Inputs!$C$14&lt;&gt;"No"),B28/Calcs!$B$7,B28)</f>
        <v>0</v>
      </c>
      <c r="D28" s="13"/>
    </row>
    <row r="29" customFormat="false" ht="15" hidden="false" customHeight="false" outlineLevel="0" collapsed="false">
      <c r="A29" s="25" t="str">
        <f aca="false">IF(Inputs!$B$27="","Person 8",Inputs!$B$27)</f>
        <v>Person 8</v>
      </c>
      <c r="B29" s="21" t="n">
        <f aca="false">IF(Inputs!$E$27="",0,IF(Inputs!$D$27="Employee",Inputs!$E$27*(1+Inputs!$F$27),Inputs!$E$27))</f>
        <v>0</v>
      </c>
      <c r="C29" s="21" t="n">
        <f aca="false">IF(AND(Inputs!$D$27="Employee",Inputs!$C$14&lt;&gt;"No"),B29/Calcs!$B$7,B29)</f>
        <v>0</v>
      </c>
      <c r="D29" s="13"/>
    </row>
    <row r="30" customFormat="false" ht="18" hidden="false" customHeight="true" outlineLevel="0" collapsed="false">
      <c r="A30" s="25" t="s">
        <v>193</v>
      </c>
      <c r="B30" s="21" t="n">
        <f aca="false">Inputs!$C$31+Inputs!$C$32+Inputs!$C$33</f>
        <v>0</v>
      </c>
      <c r="C30" s="27"/>
      <c r="D30" s="13" t="s">
        <v>194</v>
      </c>
    </row>
    <row r="31" customFormat="false" ht="19.5" hidden="false" customHeight="true" outlineLevel="0" collapsed="false">
      <c r="A31" s="4" t="s">
        <v>195</v>
      </c>
      <c r="B31" s="4"/>
      <c r="C31" s="4"/>
      <c r="D31" s="4"/>
    </row>
    <row r="32" customFormat="false" ht="18" hidden="false" customHeight="true" outlineLevel="0" collapsed="false">
      <c r="A32" s="25" t="s">
        <v>196</v>
      </c>
      <c r="B32" s="21" t="n">
        <f aca="false">Inputs!$C$36+Inputs!$C$37+Inputs!$C$38</f>
        <v>0</v>
      </c>
      <c r="C32" s="27"/>
      <c r="D32" s="13" t="s">
        <v>197</v>
      </c>
    </row>
    <row r="33" customFormat="false" ht="18" hidden="false" customHeight="true" outlineLevel="0" collapsed="false">
      <c r="A33" s="25" t="s">
        <v>198</v>
      </c>
      <c r="B33" s="21" t="n">
        <f aca="false">SUM(Inputs!$C$42:$C$56)</f>
        <v>0</v>
      </c>
      <c r="C33" s="27"/>
      <c r="D33" s="13" t="s">
        <v>199</v>
      </c>
    </row>
    <row r="34" customFormat="false" ht="18" hidden="false" customHeight="true" outlineLevel="0" collapsed="false">
      <c r="A34" s="5" t="s">
        <v>200</v>
      </c>
      <c r="B34" s="24" t="n">
        <f aca="false">Calcs!$B$32+Calcs!$B$33</f>
        <v>0</v>
      </c>
      <c r="C34" s="27"/>
      <c r="D34" s="13" t="s">
        <v>201</v>
      </c>
    </row>
    <row r="35" customFormat="false" ht="18" hidden="false" customHeight="true" outlineLevel="0" collapsed="false">
      <c r="A35" s="25" t="s">
        <v>202</v>
      </c>
      <c r="B35" s="21" t="n">
        <f aca="false">Calcs!$B$34/Calcs!$B$8</f>
        <v>0</v>
      </c>
      <c r="C35" s="27"/>
      <c r="D35" s="13" t="s">
        <v>203</v>
      </c>
    </row>
    <row r="36" customFormat="false" ht="19.5" hidden="false" customHeight="true" outlineLevel="0" collapsed="false">
      <c r="A36" s="4" t="s">
        <v>204</v>
      </c>
      <c r="B36" s="4"/>
      <c r="C36" s="4"/>
      <c r="D36" s="4"/>
    </row>
    <row r="37" customFormat="false" ht="18" hidden="false" customHeight="true" outlineLevel="0" collapsed="false">
      <c r="A37" s="25" t="s">
        <v>205</v>
      </c>
      <c r="B37" s="21" t="n">
        <f aca="false">Calcs!$B$35/12</f>
        <v>0</v>
      </c>
      <c r="C37" s="27"/>
      <c r="D37" s="13" t="s">
        <v>206</v>
      </c>
    </row>
    <row r="38" customFormat="false" ht="18" hidden="false" customHeight="true" outlineLevel="0" collapsed="false">
      <c r="A38" s="25" t="s">
        <v>207</v>
      </c>
      <c r="B38" s="21" t="n">
        <f aca="false">Calcs!$B$35/52</f>
        <v>0</v>
      </c>
      <c r="C38" s="27"/>
      <c r="D38" s="13" t="s">
        <v>208</v>
      </c>
    </row>
    <row r="39" customFormat="false" ht="30" hidden="false" customHeight="true" outlineLevel="0" collapsed="false">
      <c r="A39" s="25" t="s">
        <v>209</v>
      </c>
      <c r="B39" s="21" t="n">
        <f aca="false">Calcs!$B$35/Calcs!$B$5</f>
        <v>0</v>
      </c>
      <c r="C39" s="27"/>
      <c r="D39" s="13" t="s">
        <v>210</v>
      </c>
    </row>
    <row r="40" customFormat="false" ht="18" hidden="false" customHeight="true" outlineLevel="0" collapsed="false">
      <c r="A40" s="5" t="s">
        <v>211</v>
      </c>
      <c r="B40" s="24" t="n">
        <f aca="false">IFERROR(Calcs!$B$35/Calcs!$B$9,0)</f>
        <v>0</v>
      </c>
      <c r="C40" s="27"/>
      <c r="D40" s="13" t="s">
        <v>212</v>
      </c>
    </row>
    <row r="41" customFormat="false" ht="18" hidden="false" customHeight="true" outlineLevel="0" collapsed="false">
      <c r="A41" s="25" t="s">
        <v>213</v>
      </c>
      <c r="B41" s="21" t="n">
        <f aca="false">IFERROR(Calcs!$B$40/Calcs!$B$6,0)</f>
        <v>0</v>
      </c>
      <c r="C41" s="27"/>
      <c r="D41" s="13" t="s">
        <v>214</v>
      </c>
    </row>
  </sheetData>
  <sheetProtection sheet="true" formatColumns="false" formatRows="false"/>
  <mergeCells count="7">
    <mergeCell ref="A2:D2"/>
    <mergeCell ref="A4:D4"/>
    <mergeCell ref="A11:D11"/>
    <mergeCell ref="A17:D17"/>
    <mergeCell ref="A20:D20"/>
    <mergeCell ref="A31:D31"/>
    <mergeCell ref="A36:D36"/>
  </mergeCells>
  <conditionalFormatting sqref="B18">
    <cfRule type="expression" priority="2" aboveAverage="0" equalAverage="0" bottom="0" percent="0" rank="0" text="" dxfId="0">
      <formula>$B$18="NOT CHOSEN"</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16"/>
    <col collapsed="false" customWidth="true" hidden="false" outlineLevel="0" max="4" min="4" style="0" width="12"/>
    <col collapsed="false" customWidth="true" hidden="false" outlineLevel="0" max="5" min="5" style="0" width="15"/>
    <col collapsed="false" customWidth="true" hidden="false" outlineLevel="0" max="6" min="6" style="0" width="18"/>
  </cols>
  <sheetData>
    <row r="1" customFormat="false" ht="25.5" hidden="false" customHeight="true" outlineLevel="0" collapsed="false">
      <c r="A1" s="8" t="s">
        <v>215</v>
      </c>
    </row>
    <row r="2" customFormat="false" ht="27.75" hidden="false" customHeight="true" outlineLevel="0" collapsed="false">
      <c r="A2" s="9" t="s">
        <v>216</v>
      </c>
      <c r="B2" s="9"/>
      <c r="C2" s="9"/>
      <c r="D2" s="9"/>
      <c r="E2" s="9"/>
      <c r="F2" s="9"/>
    </row>
    <row r="3" customFormat="false" ht="30" hidden="false" customHeight="true" outlineLevel="0" collapsed="false">
      <c r="A3" s="10" t="s">
        <v>92</v>
      </c>
      <c r="B3" s="10" t="s">
        <v>94</v>
      </c>
      <c r="C3" s="10" t="s">
        <v>95</v>
      </c>
      <c r="D3" s="10" t="s">
        <v>217</v>
      </c>
      <c r="E3" s="10" t="s">
        <v>98</v>
      </c>
      <c r="F3" s="10" t="s">
        <v>191</v>
      </c>
    </row>
    <row r="4" customFormat="false" ht="15" hidden="false" customHeight="false" outlineLevel="0" collapsed="false">
      <c r="A4" s="5" t="str">
        <f aca="false">Calcs!$A$22</f>
        <v>Person 1</v>
      </c>
      <c r="B4" s="35" t="str">
        <f aca="false">IF(Inputs!$C$20="","",Inputs!$C$20)</f>
        <v/>
      </c>
      <c r="C4" s="35" t="str">
        <f aca="false">IF(Inputs!$D$20="","",Inputs!$D$20)</f>
        <v/>
      </c>
      <c r="D4" s="17" t="s">
        <v>218</v>
      </c>
      <c r="E4" s="21" t="n">
        <f aca="false">Calcs!$B$22</f>
        <v>0</v>
      </c>
      <c r="F4" s="21" t="n">
        <f aca="false">Calcs!$C$22</f>
        <v>0</v>
      </c>
    </row>
    <row r="5" customFormat="false" ht="15" hidden="false" customHeight="false" outlineLevel="0" collapsed="false">
      <c r="A5" s="5" t="str">
        <f aca="false">Calcs!$A$23</f>
        <v>Person 2</v>
      </c>
      <c r="B5" s="35" t="str">
        <f aca="false">IF(Inputs!$C$21="","",Inputs!$C$21)</f>
        <v/>
      </c>
      <c r="C5" s="35" t="str">
        <f aca="false">IF(Inputs!$D$21="","",Inputs!$D$21)</f>
        <v/>
      </c>
      <c r="D5" s="17" t="s">
        <v>218</v>
      </c>
      <c r="E5" s="21" t="n">
        <f aca="false">Calcs!$B$23</f>
        <v>0</v>
      </c>
      <c r="F5" s="21" t="n">
        <f aca="false">Calcs!$C$23</f>
        <v>0</v>
      </c>
    </row>
    <row r="6" customFormat="false" ht="15" hidden="false" customHeight="false" outlineLevel="0" collapsed="false">
      <c r="A6" s="5" t="str">
        <f aca="false">Calcs!$A$24</f>
        <v>Person 3</v>
      </c>
      <c r="B6" s="35" t="str">
        <f aca="false">IF(Inputs!$C$22="","",Inputs!$C$22)</f>
        <v/>
      </c>
      <c r="C6" s="35" t="str">
        <f aca="false">IF(Inputs!$D$22="","",Inputs!$D$22)</f>
        <v/>
      </c>
      <c r="D6" s="17" t="s">
        <v>218</v>
      </c>
      <c r="E6" s="21" t="n">
        <f aca="false">Calcs!$B$24</f>
        <v>0</v>
      </c>
      <c r="F6" s="21" t="n">
        <f aca="false">Calcs!$C$24</f>
        <v>0</v>
      </c>
    </row>
    <row r="7" customFormat="false" ht="15" hidden="false" customHeight="false" outlineLevel="0" collapsed="false">
      <c r="A7" s="5" t="str">
        <f aca="false">Calcs!$A$25</f>
        <v>Person 4</v>
      </c>
      <c r="B7" s="35" t="str">
        <f aca="false">IF(Inputs!$C$23="","",Inputs!$C$23)</f>
        <v/>
      </c>
      <c r="C7" s="35" t="str">
        <f aca="false">IF(Inputs!$D$23="","",Inputs!$D$23)</f>
        <v/>
      </c>
      <c r="D7" s="17" t="s">
        <v>218</v>
      </c>
      <c r="E7" s="21" t="n">
        <f aca="false">Calcs!$B$25</f>
        <v>0</v>
      </c>
      <c r="F7" s="21" t="n">
        <f aca="false">Calcs!$C$25</f>
        <v>0</v>
      </c>
    </row>
    <row r="8" customFormat="false" ht="15" hidden="false" customHeight="false" outlineLevel="0" collapsed="false">
      <c r="A8" s="5" t="str">
        <f aca="false">Calcs!$A$26</f>
        <v>Person 5</v>
      </c>
      <c r="B8" s="35" t="str">
        <f aca="false">IF(Inputs!$C$24="","",Inputs!$C$24)</f>
        <v/>
      </c>
      <c r="C8" s="35" t="str">
        <f aca="false">IF(Inputs!$D$24="","",Inputs!$D$24)</f>
        <v/>
      </c>
      <c r="D8" s="17" t="s">
        <v>218</v>
      </c>
      <c r="E8" s="21" t="n">
        <f aca="false">Calcs!$B$26</f>
        <v>0</v>
      </c>
      <c r="F8" s="21" t="n">
        <f aca="false">Calcs!$C$26</f>
        <v>0</v>
      </c>
    </row>
    <row r="9" customFormat="false" ht="15" hidden="false" customHeight="false" outlineLevel="0" collapsed="false">
      <c r="A9" s="5" t="str">
        <f aca="false">Calcs!$A$27</f>
        <v>Person 6</v>
      </c>
      <c r="B9" s="35" t="str">
        <f aca="false">IF(Inputs!$C$25="","",Inputs!$C$25)</f>
        <v/>
      </c>
      <c r="C9" s="35" t="str">
        <f aca="false">IF(Inputs!$D$25="","",Inputs!$D$25)</f>
        <v/>
      </c>
      <c r="D9" s="17" t="s">
        <v>218</v>
      </c>
      <c r="E9" s="21" t="n">
        <f aca="false">Calcs!$B$27</f>
        <v>0</v>
      </c>
      <c r="F9" s="21" t="n">
        <f aca="false">Calcs!$C$27</f>
        <v>0</v>
      </c>
    </row>
    <row r="10" customFormat="false" ht="15" hidden="false" customHeight="false" outlineLevel="0" collapsed="false">
      <c r="A10" s="5" t="str">
        <f aca="false">Calcs!$A$28</f>
        <v>Person 7</v>
      </c>
      <c r="B10" s="35" t="str">
        <f aca="false">IF(Inputs!$C$26="","",Inputs!$C$26)</f>
        <v/>
      </c>
      <c r="C10" s="35" t="str">
        <f aca="false">IF(Inputs!$D$26="","",Inputs!$D$26)</f>
        <v/>
      </c>
      <c r="D10" s="17" t="s">
        <v>218</v>
      </c>
      <c r="E10" s="21" t="n">
        <f aca="false">Calcs!$B$28</f>
        <v>0</v>
      </c>
      <c r="F10" s="21" t="n">
        <f aca="false">Calcs!$C$28</f>
        <v>0</v>
      </c>
    </row>
    <row r="11" customFormat="false" ht="15" hidden="false" customHeight="false" outlineLevel="0" collapsed="false">
      <c r="A11" s="5" t="str">
        <f aca="false">Calcs!$A$29</f>
        <v>Person 8</v>
      </c>
      <c r="B11" s="35" t="str">
        <f aca="false">IF(Inputs!$C$27="","",Inputs!$C$27)</f>
        <v/>
      </c>
      <c r="C11" s="35" t="str">
        <f aca="false">IF(Inputs!$D$27="","",Inputs!$D$27)</f>
        <v/>
      </c>
      <c r="D11" s="17" t="s">
        <v>218</v>
      </c>
      <c r="E11" s="21" t="n">
        <f aca="false">Calcs!$B$29</f>
        <v>0</v>
      </c>
      <c r="F11" s="21" t="n">
        <f aca="false">Calcs!$C$29</f>
        <v>0</v>
      </c>
    </row>
    <row r="13" customFormat="false" ht="15" hidden="false" customHeight="true" outlineLevel="0" collapsed="false">
      <c r="A13" s="5" t="s">
        <v>219</v>
      </c>
      <c r="B13" s="5"/>
      <c r="C13" s="5"/>
      <c r="D13" s="5"/>
      <c r="E13" s="5"/>
      <c r="F13" s="26" t="n">
        <f aca="false">COUNTIF(D4:D11,"Yes")</f>
        <v>0</v>
      </c>
    </row>
    <row r="14" customFormat="false" ht="15" hidden="false" customHeight="true" outlineLevel="0" collapsed="false">
      <c r="A14" s="5" t="s">
        <v>220</v>
      </c>
      <c r="B14" s="5"/>
      <c r="C14" s="5"/>
      <c r="D14" s="5"/>
      <c r="E14" s="5"/>
      <c r="F14" s="21" t="n">
        <f aca="false">SUMIF(D4:D11,"Yes",F4:F11)</f>
        <v>0</v>
      </c>
    </row>
    <row r="15" customFormat="false" ht="15" hidden="false" customHeight="true" outlineLevel="0" collapsed="false">
      <c r="A15" s="5" t="s">
        <v>221</v>
      </c>
      <c r="B15" s="5"/>
      <c r="C15" s="5"/>
      <c r="D15" s="5"/>
      <c r="E15" s="5"/>
      <c r="F15" s="21" t="n">
        <f aca="false">Calcs!$B$30</f>
        <v>0</v>
      </c>
    </row>
    <row r="16" customFormat="false" ht="15" hidden="false" customHeight="true" outlineLevel="0" collapsed="false">
      <c r="A16" s="5" t="s">
        <v>222</v>
      </c>
      <c r="B16" s="5"/>
      <c r="C16" s="5"/>
      <c r="D16" s="5"/>
      <c r="E16" s="5"/>
      <c r="F16" s="24" t="n">
        <f aca="false">F14+F15</f>
        <v>0</v>
      </c>
    </row>
    <row r="18" customFormat="false" ht="15" hidden="false" customHeight="false" outlineLevel="0" collapsed="false">
      <c r="A18" s="36" t="str">
        <f aca="false">IF(SUMPRODUCT((D4:D11="Yes")*(E4:E11=0))&gt;0,"CHECK: someone selected has no day rate on the Inputs tab.","")</f>
        <v/>
      </c>
      <c r="B18" s="36"/>
      <c r="C18" s="36"/>
      <c r="D18" s="36"/>
      <c r="E18" s="36"/>
      <c r="F18" s="36"/>
    </row>
    <row r="19" customFormat="false" ht="30" hidden="false" customHeight="true" outlineLevel="0" collapsed="false">
      <c r="A19" s="13" t="s">
        <v>223</v>
      </c>
      <c r="B19" s="13"/>
      <c r="C19" s="13"/>
      <c r="D19" s="13"/>
      <c r="E19" s="13"/>
      <c r="F19" s="13"/>
    </row>
  </sheetData>
  <sheetProtection sheet="true" formatColumns="false" formatRows="false"/>
  <mergeCells count="7">
    <mergeCell ref="A2:F2"/>
    <mergeCell ref="A13:E13"/>
    <mergeCell ref="A14:E14"/>
    <mergeCell ref="A15:E15"/>
    <mergeCell ref="A16:E16"/>
    <mergeCell ref="A18:F18"/>
    <mergeCell ref="A19:F19"/>
  </mergeCells>
  <conditionalFormatting sqref="A4:F11">
    <cfRule type="expression" priority="2" aboveAverage="0" equalAverage="0" bottom="0" percent="0" rank="0" text="" dxfId="1">
      <formula>$D4="Yes"</formula>
    </cfRule>
  </conditionalFormatting>
  <dataValidations count="1">
    <dataValidation allowBlank="true" error="Choose one of: Yes, No" errorStyle="stop" errorTitle="Please pick from the list" operator="between" showDropDown="false" showErrorMessage="true" showInputMessage="false" sqref="D4:D11" type="list">
      <formula1>"Yes,No"</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2"/>
    <col collapsed="false" customWidth="true" hidden="false" outlineLevel="0" max="3" min="3" style="0" width="78"/>
  </cols>
  <sheetData>
    <row r="1" customFormat="false" ht="25.5" hidden="false" customHeight="true" outlineLevel="0" collapsed="false">
      <c r="A1" s="8" t="s">
        <v>224</v>
      </c>
    </row>
    <row r="2" customFormat="false" ht="27.75" hidden="false" customHeight="true" outlineLevel="0" collapsed="false">
      <c r="A2" s="9" t="s">
        <v>225</v>
      </c>
      <c r="B2" s="9"/>
      <c r="C2" s="9"/>
    </row>
    <row r="3" customFormat="false" ht="21.75" hidden="false" customHeight="true" outlineLevel="0" collapsed="false">
      <c r="A3" s="10" t="s">
        <v>61</v>
      </c>
      <c r="B3" s="10" t="s">
        <v>62</v>
      </c>
      <c r="C3" s="10" t="s">
        <v>63</v>
      </c>
    </row>
    <row r="4" customFormat="false" ht="19.5" hidden="false" customHeight="true" outlineLevel="0" collapsed="false">
      <c r="A4" s="4" t="s">
        <v>226</v>
      </c>
      <c r="B4" s="4"/>
      <c r="C4" s="4"/>
    </row>
    <row r="5" customFormat="false" ht="18" hidden="false" customHeight="true" outlineLevel="0" collapsed="false">
      <c r="A5" s="25" t="s">
        <v>227</v>
      </c>
      <c r="B5" s="37" t="n">
        <v>0</v>
      </c>
      <c r="C5" s="13" t="s">
        <v>228</v>
      </c>
    </row>
    <row r="6" customFormat="false" ht="18" hidden="false" customHeight="true" outlineLevel="0" collapsed="false">
      <c r="A6" s="25" t="s">
        <v>229</v>
      </c>
      <c r="B6" s="21" t="n">
        <f aca="false">'Crew Selector'!$F$16</f>
        <v>0</v>
      </c>
      <c r="C6" s="13" t="s">
        <v>230</v>
      </c>
    </row>
    <row r="7" customFormat="false" ht="18" hidden="false" customHeight="true" outlineLevel="0" collapsed="false">
      <c r="A7" s="25" t="s">
        <v>231</v>
      </c>
      <c r="B7" s="21" t="n">
        <f aca="false">$B$5*$B$6</f>
        <v>0</v>
      </c>
      <c r="C7" s="13" t="s">
        <v>232</v>
      </c>
    </row>
    <row r="8" customFormat="false" ht="18" hidden="false" customHeight="true" outlineLevel="0" collapsed="false">
      <c r="A8" s="25" t="s">
        <v>233</v>
      </c>
      <c r="B8" s="21" t="n">
        <f aca="false">Calcs!$B$40</f>
        <v>0</v>
      </c>
      <c r="C8" s="13" t="s">
        <v>234</v>
      </c>
    </row>
    <row r="9" customFormat="false" ht="18" hidden="false" customHeight="true" outlineLevel="0" collapsed="false">
      <c r="A9" s="25" t="s">
        <v>235</v>
      </c>
      <c r="B9" s="21" t="n">
        <f aca="false">$B$5*$B$8</f>
        <v>0</v>
      </c>
      <c r="C9" s="13" t="s">
        <v>236</v>
      </c>
    </row>
    <row r="10" customFormat="false" ht="18" hidden="false" customHeight="true" outlineLevel="0" collapsed="false">
      <c r="A10" s="5" t="s">
        <v>237</v>
      </c>
      <c r="B10" s="24" t="n">
        <f aca="false">$B$7+$B$9</f>
        <v>0</v>
      </c>
      <c r="C10" s="13" t="s">
        <v>238</v>
      </c>
    </row>
    <row r="12" customFormat="false" ht="19.5" hidden="false" customHeight="true" outlineLevel="0" collapsed="false">
      <c r="A12" s="4" t="s">
        <v>239</v>
      </c>
      <c r="B12" s="4"/>
      <c r="C12" s="4"/>
    </row>
    <row r="13" customFormat="false" ht="30" hidden="false" customHeight="true" outlineLevel="0" collapsed="false">
      <c r="A13" s="25" t="s">
        <v>240</v>
      </c>
      <c r="B13" s="19"/>
      <c r="C13" s="13" t="s">
        <v>241</v>
      </c>
    </row>
    <row r="14" customFormat="false" ht="18" hidden="false" customHeight="true" outlineLevel="0" collapsed="false">
      <c r="A14" s="25" t="s">
        <v>242</v>
      </c>
      <c r="B14" s="19"/>
      <c r="C14" s="13" t="s">
        <v>243</v>
      </c>
    </row>
    <row r="15" customFormat="false" ht="18" hidden="false" customHeight="true" outlineLevel="0" collapsed="false">
      <c r="A15" s="25" t="s">
        <v>244</v>
      </c>
      <c r="B15" s="19"/>
      <c r="C15" s="13" t="s">
        <v>245</v>
      </c>
    </row>
    <row r="16" customFormat="false" ht="18" hidden="false" customHeight="true" outlineLevel="0" collapsed="false">
      <c r="A16" s="25" t="s">
        <v>246</v>
      </c>
      <c r="B16" s="19"/>
      <c r="C16" s="13" t="s">
        <v>247</v>
      </c>
    </row>
    <row r="17" customFormat="false" ht="30" hidden="false" customHeight="true" outlineLevel="0" collapsed="false">
      <c r="A17" s="25" t="s">
        <v>248</v>
      </c>
      <c r="B17" s="19"/>
      <c r="C17" s="13" t="s">
        <v>249</v>
      </c>
    </row>
    <row r="18" customFormat="false" ht="18" hidden="false" customHeight="true" outlineLevel="0" collapsed="false">
      <c r="A18" s="25" t="s">
        <v>250</v>
      </c>
      <c r="B18" s="19"/>
      <c r="C18" s="13" t="s">
        <v>251</v>
      </c>
    </row>
    <row r="19" customFormat="false" ht="18" hidden="false" customHeight="true" outlineLevel="0" collapsed="false">
      <c r="A19" s="25" t="s">
        <v>252</v>
      </c>
      <c r="B19" s="19"/>
      <c r="C19" s="13" t="s">
        <v>253</v>
      </c>
    </row>
    <row r="20" customFormat="false" ht="18" hidden="false" customHeight="true" outlineLevel="0" collapsed="false">
      <c r="A20" s="25" t="s">
        <v>254</v>
      </c>
      <c r="B20" s="19"/>
      <c r="C20" s="13" t="s">
        <v>255</v>
      </c>
    </row>
    <row r="21" customFormat="false" ht="18" hidden="false" customHeight="true" outlineLevel="0" collapsed="false">
      <c r="A21" s="5" t="s">
        <v>256</v>
      </c>
      <c r="B21" s="24" t="n">
        <f aca="false">SUM(B13:B20)</f>
        <v>0</v>
      </c>
      <c r="C21" s="13" t="s">
        <v>257</v>
      </c>
    </row>
    <row r="22" customFormat="false" ht="30" hidden="false" customHeight="true" outlineLevel="0" collapsed="false">
      <c r="A22" s="25" t="s">
        <v>258</v>
      </c>
      <c r="B22" s="17" t="s">
        <v>86</v>
      </c>
      <c r="C22" s="13" t="s">
        <v>259</v>
      </c>
    </row>
    <row r="23" customFormat="false" ht="30" hidden="false" customHeight="true" outlineLevel="0" collapsed="false">
      <c r="A23" s="25" t="s">
        <v>260</v>
      </c>
      <c r="B23" s="18" t="n">
        <v>0</v>
      </c>
      <c r="C23" s="13" t="s">
        <v>261</v>
      </c>
    </row>
    <row r="24" customFormat="false" ht="18" hidden="false" customHeight="true" outlineLevel="0" collapsed="false">
      <c r="A24" s="25" t="s">
        <v>262</v>
      </c>
      <c r="B24" s="21" t="n">
        <f aca="false">($B$10+$B$21)*$B$23</f>
        <v>0</v>
      </c>
      <c r="C24" s="13" t="s">
        <v>263</v>
      </c>
    </row>
    <row r="25" customFormat="false" ht="18" hidden="false" customHeight="true" outlineLevel="0" collapsed="false">
      <c r="A25" s="5" t="s">
        <v>264</v>
      </c>
      <c r="B25" s="24" t="n">
        <f aca="false">$B$10+$B$21+$B$24</f>
        <v>0</v>
      </c>
      <c r="C25" s="13" t="s">
        <v>265</v>
      </c>
    </row>
    <row r="27" customFormat="false" ht="19.5" hidden="false" customHeight="true" outlineLevel="0" collapsed="false">
      <c r="A27" s="4" t="s">
        <v>266</v>
      </c>
      <c r="B27" s="4"/>
      <c r="C27" s="4"/>
    </row>
    <row r="28" customFormat="false" ht="18" hidden="false" customHeight="true" outlineLevel="0" collapsed="false">
      <c r="A28" s="25" t="s">
        <v>267</v>
      </c>
      <c r="B28" s="27" t="str">
        <f aca="false">Calcs!$B$12&amp;" of "&amp;TEXT(Calcs!$B$13,"0.0%")</f>
        <v>Margin of 20.0%</v>
      </c>
      <c r="C28" s="13" t="s">
        <v>268</v>
      </c>
    </row>
    <row r="29" customFormat="false" ht="18" hidden="false" customHeight="true" outlineLevel="0" collapsed="false">
      <c r="A29" s="25" t="s">
        <v>269</v>
      </c>
      <c r="B29" s="21" t="n">
        <f aca="false">IF($B$22="No",($B$10+$B$24)*Calcs!$B$14+$B$21,$B$25*Calcs!$B$14)</f>
        <v>0</v>
      </c>
      <c r="C29" s="13" t="s">
        <v>270</v>
      </c>
    </row>
    <row r="30" customFormat="false" ht="18" hidden="false" customHeight="true" outlineLevel="0" collapsed="false">
      <c r="A30" s="25" t="s">
        <v>271</v>
      </c>
      <c r="B30" s="21" t="n">
        <f aca="false">N(Inputs!$C$15)</f>
        <v>0</v>
      </c>
      <c r="C30" s="13" t="s">
        <v>165</v>
      </c>
    </row>
    <row r="31" customFormat="false" ht="18" hidden="false" customHeight="true" outlineLevel="0" collapsed="false">
      <c r="A31" s="5" t="s">
        <v>272</v>
      </c>
      <c r="B31" s="24" t="n">
        <f aca="false">IF($B$25=0,0,MAX($B$29,$B$30))</f>
        <v>0</v>
      </c>
      <c r="C31" s="13" t="s">
        <v>273</v>
      </c>
    </row>
    <row r="32" customFormat="false" ht="18" hidden="false" customHeight="true" outlineLevel="0" collapsed="false">
      <c r="A32" s="25" t="s">
        <v>274</v>
      </c>
      <c r="B32" s="27" t="str">
        <f aca="false">IF(AND($B$31&gt;0,$B$30&gt;$B$29),"Yes – minimum charge used","No")</f>
        <v>No</v>
      </c>
      <c r="C32" s="13" t="s">
        <v>275</v>
      </c>
    </row>
    <row r="33" customFormat="false" ht="30" hidden="false" customHeight="true" outlineLevel="0" collapsed="false">
      <c r="A33" s="25" t="s">
        <v>184</v>
      </c>
      <c r="B33" s="21" t="n">
        <f aca="false">$B$31*(Calcs!$B$19-1)</f>
        <v>0</v>
      </c>
      <c r="C33" s="22" t="str">
        <f aca="false">IF(Calcs!$B$18="NOT CHOSEN","CHECK: choose VAT Yes or No on the Inputs tab.","Only charged if VAT registered (Inputs).")</f>
        <v>CHECK: choose VAT Yes or No on the Inputs tab.</v>
      </c>
    </row>
    <row r="34" customFormat="false" ht="18" hidden="false" customHeight="true" outlineLevel="0" collapsed="false">
      <c r="A34" s="5" t="s">
        <v>276</v>
      </c>
      <c r="B34" s="24" t="n">
        <f aca="false">$B$31+$B$33</f>
        <v>0</v>
      </c>
      <c r="C34" s="13" t="s">
        <v>277</v>
      </c>
    </row>
    <row r="36" customFormat="false" ht="19.5" hidden="false" customHeight="true" outlineLevel="0" collapsed="false">
      <c r="A36" s="4" t="s">
        <v>278</v>
      </c>
      <c r="B36" s="4"/>
      <c r="C36" s="4"/>
    </row>
    <row r="37" customFormat="false" ht="18" hidden="false" customHeight="true" outlineLevel="0" collapsed="false">
      <c r="A37" s="5" t="s">
        <v>279</v>
      </c>
      <c r="B37" s="24" t="n">
        <f aca="false">$B$31-$B$25</f>
        <v>0</v>
      </c>
      <c r="C37" s="13" t="s">
        <v>280</v>
      </c>
    </row>
    <row r="38" customFormat="false" ht="18" hidden="false" customHeight="true" outlineLevel="0" collapsed="false">
      <c r="A38" s="25" t="s">
        <v>281</v>
      </c>
      <c r="B38" s="38" t="n">
        <f aca="false">IFERROR($B$37/$B$31,0)</f>
        <v>0</v>
      </c>
      <c r="C38" s="13" t="s">
        <v>282</v>
      </c>
    </row>
    <row r="39" customFormat="false" ht="18" hidden="false" customHeight="true" outlineLevel="0" collapsed="false">
      <c r="A39" s="25" t="s">
        <v>283</v>
      </c>
      <c r="B39" s="38" t="n">
        <f aca="false">IFERROR($B$37/$B$25,0)</f>
        <v>0</v>
      </c>
      <c r="C39" s="13" t="s">
        <v>284</v>
      </c>
    </row>
    <row r="40" customFormat="false" ht="18" hidden="false" customHeight="true" outlineLevel="0" collapsed="false">
      <c r="A40" s="25" t="s">
        <v>285</v>
      </c>
      <c r="B40" s="21" t="n">
        <f aca="false">IFERROR($B$31/$B$5,0)</f>
        <v>0</v>
      </c>
      <c r="C40" s="13" t="s">
        <v>286</v>
      </c>
    </row>
    <row r="42" customFormat="false" ht="19.5" hidden="false" customHeight="true" outlineLevel="0" collapsed="false">
      <c r="A42" s="4" t="s">
        <v>287</v>
      </c>
      <c r="B42" s="4"/>
      <c r="C42" s="4"/>
    </row>
    <row r="43" customFormat="false" ht="18" hidden="false" customHeight="true" outlineLevel="0" collapsed="false">
      <c r="A43" s="25" t="s">
        <v>288</v>
      </c>
      <c r="B43" s="39"/>
      <c r="C43" s="13" t="s">
        <v>289</v>
      </c>
    </row>
    <row r="44" customFormat="false" ht="18" hidden="false" customHeight="true" outlineLevel="0" collapsed="false">
      <c r="A44" s="25" t="s">
        <v>290</v>
      </c>
      <c r="B44" s="39"/>
      <c r="C44" s="13" t="s">
        <v>291</v>
      </c>
    </row>
    <row r="45" customFormat="false" ht="18" hidden="false" customHeight="true" outlineLevel="0" collapsed="false">
      <c r="A45" s="25" t="s">
        <v>292</v>
      </c>
      <c r="B45" s="39"/>
      <c r="C45" s="13" t="s">
        <v>293</v>
      </c>
    </row>
    <row r="46" customFormat="false" ht="48" hidden="false" customHeight="true" outlineLevel="0" collapsed="false">
      <c r="A46" s="25" t="s">
        <v>294</v>
      </c>
      <c r="B46" s="40"/>
      <c r="C46" s="40"/>
    </row>
    <row r="47" customFormat="false" ht="18" hidden="false" customHeight="true" outlineLevel="0" collapsed="false">
      <c r="A47" s="25" t="s">
        <v>295</v>
      </c>
      <c r="B47" s="14" t="n">
        <v>30</v>
      </c>
      <c r="C47" s="13" t="s">
        <v>296</v>
      </c>
    </row>
    <row r="48" customFormat="false" ht="18" hidden="false" customHeight="true" outlineLevel="0" collapsed="false">
      <c r="A48" s="25" t="s">
        <v>297</v>
      </c>
      <c r="B48" s="27" t="str">
        <f aca="false">IF($B$5=0,"",TEXT($B$5,"0.0#")&amp;IF($B$5=1," day"," days")&amp;" with a "&amp;'Crew Selector'!$F$13&amp;"-person crew")</f>
        <v/>
      </c>
      <c r="C48" s="13" t="s">
        <v>158</v>
      </c>
    </row>
    <row r="49" customFormat="false" ht="18" hidden="false" customHeight="true" outlineLevel="0" collapsed="false">
      <c r="A49" s="5" t="s">
        <v>298</v>
      </c>
      <c r="B49" s="24" t="n">
        <f aca="false">$B$31</f>
        <v>0</v>
      </c>
      <c r="C49" s="13" t="s">
        <v>158</v>
      </c>
    </row>
    <row r="50" customFormat="false" ht="18" hidden="false" customHeight="true" outlineLevel="0" collapsed="false">
      <c r="A50" s="25" t="s">
        <v>184</v>
      </c>
      <c r="B50" s="21" t="str">
        <f aca="false">IF(Calcs!$B$18="Yes",$B$33,IF(Calcs!$B$18="No","Not VAT registered – no VAT charged","CHECK VAT setting"))</f>
        <v>CHECK VAT setting</v>
      </c>
      <c r="C50" s="13" t="s">
        <v>158</v>
      </c>
    </row>
    <row r="51" customFormat="false" ht="18" hidden="false" customHeight="true" outlineLevel="0" collapsed="false">
      <c r="A51" s="5" t="s">
        <v>299</v>
      </c>
      <c r="B51" s="24" t="n">
        <f aca="false">$B$34</f>
        <v>0</v>
      </c>
      <c r="C51" s="13" t="s">
        <v>158</v>
      </c>
    </row>
    <row r="52" customFormat="false" ht="61.5" hidden="false" customHeight="true" outlineLevel="0" collapsed="false">
      <c r="A52" s="5" t="s">
        <v>300</v>
      </c>
      <c r="B52" s="41" t="str">
        <f aca="false">IF($B$31=0,"Enter the job details above.",Inputs!$C$5&amp;" – quote "&amp;$B$43&amp;" for "&amp;$B$44&amp;" at "&amp;$B$45&amp;": "&amp;$B$46&amp;" Price £"&amp;TEXT($B$31,"#,##0.00")&amp;IF(Calcs!$B$18="Yes"," + VAT £"&amp;TEXT($B$33,"#,##0.00")&amp;" = £"&amp;TEXT($B$34,"#,##0.00")&amp;" total"," (no VAT – not VAT registered)")&amp;". Valid for "&amp;$B$47&amp;" days.")</f>
        <v>Enter the job details above.</v>
      </c>
      <c r="C52" s="41"/>
    </row>
    <row r="53" customFormat="false" ht="15" hidden="false" customHeight="true" outlineLevel="0" collapsed="false">
      <c r="A53" s="13" t="s">
        <v>301</v>
      </c>
      <c r="B53" s="13"/>
      <c r="C53" s="13"/>
    </row>
  </sheetData>
  <sheetProtection sheet="true" formatColumns="false" formatRows="false"/>
  <mergeCells count="9">
    <mergeCell ref="A2:C2"/>
    <mergeCell ref="A4:C4"/>
    <mergeCell ref="A12:C12"/>
    <mergeCell ref="A27:C27"/>
    <mergeCell ref="A36:C36"/>
    <mergeCell ref="A42:C42"/>
    <mergeCell ref="B46:C46"/>
    <mergeCell ref="B52:C52"/>
    <mergeCell ref="A53:C53"/>
  </mergeCells>
  <conditionalFormatting sqref="B32">
    <cfRule type="expression" priority="2" aboveAverage="0" equalAverage="0" bottom="0" percent="0" rank="0" text="" dxfId="0">
      <formula>LEFT($B$32,3)="Yes"</formula>
    </cfRule>
  </conditionalFormatting>
  <dataValidations count="5">
    <dataValidation allowBlank="true" error="Enter a percentage between 0% and 100%." errorStyle="stop" errorTitle="Check this number" operator="between" showDropDown="false" showErrorMessage="true" showInputMessage="false" sqref="B23" type="decimal">
      <formula1>0</formula1>
      <formula2>1</formula2>
    </dataValidation>
    <dataValidation allowBlank="true" error="Enter £0 or more." errorStyle="stop" errorTitle="Check this number" operator="between" showDropDown="false" showErrorMessage="true" showInputMessage="false" sqref="B13:B20" type="decimal">
      <formula1>0</formula1>
      <formula2>10000000</formula2>
    </dataValidation>
    <dataValidation allowBlank="true" error="Enter days of 0 or more, for example 0.5." errorStyle="stop" errorTitle="Check this number" operator="between" showDropDown="false" showErrorMessage="true" showInputMessage="false" sqref="B5" type="decimal">
      <formula1>0</formula1>
      <formula2>1000</formula2>
    </dataValidation>
    <dataValidation allowBlank="true" error="Choose one of: Yes, No" errorStyle="stop" errorTitle="Please pick from the list" operator="between" showDropDown="false" showErrorMessage="true" showInputMessage="false" sqref="B22" type="list">
      <formula1>"Yes,No"</formula1>
      <formula2>0</formula2>
    </dataValidation>
    <dataValidation allowBlank="true" error="Enter whole days between 1 and 365." errorStyle="stop" errorTitle="Check this number" operator="between" showDropDown="false" showErrorMessage="true" showInputMessage="false" sqref="B47" type="whole">
      <formula1>1</formula1>
      <formula2>365</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8"/>
    <col collapsed="false" customWidth="true" hidden="false" outlineLevel="0" max="3" min="3" style="0" width="22"/>
    <col collapsed="false" customWidth="true" hidden="false" outlineLevel="0" max="4" min="4" style="0" width="60"/>
  </cols>
  <sheetData>
    <row r="1" customFormat="false" ht="25.5" hidden="false" customHeight="true" outlineLevel="0" collapsed="false">
      <c r="A1" s="8" t="s">
        <v>302</v>
      </c>
    </row>
    <row r="2" customFormat="false" ht="27.75" hidden="false" customHeight="true" outlineLevel="0" collapsed="false">
      <c r="A2" s="9" t="s">
        <v>303</v>
      </c>
      <c r="B2" s="9"/>
      <c r="C2" s="9"/>
      <c r="D2" s="9"/>
    </row>
    <row r="3" customFormat="false" ht="30" hidden="false" customHeight="true" outlineLevel="0" collapsed="false">
      <c r="A3" s="10" t="s">
        <v>304</v>
      </c>
      <c r="B3" s="10" t="s">
        <v>305</v>
      </c>
      <c r="C3" s="10" t="s">
        <v>306</v>
      </c>
      <c r="D3" s="10" t="s">
        <v>63</v>
      </c>
    </row>
    <row r="4" customFormat="false" ht="19.5" hidden="false" customHeight="true" outlineLevel="0" collapsed="false">
      <c r="A4" s="4" t="s">
        <v>307</v>
      </c>
      <c r="B4" s="4"/>
      <c r="C4" s="4"/>
      <c r="D4" s="4"/>
    </row>
    <row r="5" customFormat="false" ht="18" hidden="false" customHeight="true" outlineLevel="0" collapsed="false">
      <c r="A5" s="25" t="s">
        <v>308</v>
      </c>
      <c r="B5" s="21" t="n">
        <f aca="false">'Crew Selector'!$F$16</f>
        <v>0</v>
      </c>
      <c r="C5" s="21" t="n">
        <f aca="false">B5*Calcs!$B$14</f>
        <v>0</v>
      </c>
      <c r="D5" s="13" t="s">
        <v>230</v>
      </c>
    </row>
    <row r="6" customFormat="false" ht="18" hidden="false" customHeight="true" outlineLevel="0" collapsed="false">
      <c r="A6" s="25" t="s">
        <v>309</v>
      </c>
      <c r="B6" s="21" t="n">
        <f aca="false">B5*5</f>
        <v>0</v>
      </c>
      <c r="C6" s="21" t="n">
        <f aca="false">B6*Calcs!$B$14</f>
        <v>0</v>
      </c>
      <c r="D6" s="13" t="s">
        <v>310</v>
      </c>
    </row>
    <row r="7" customFormat="false" ht="18" hidden="false" customHeight="true" outlineLevel="0" collapsed="false">
      <c r="A7" s="25" t="s">
        <v>311</v>
      </c>
      <c r="B7" s="21" t="n">
        <f aca="false">B5*Calcs!$B$9/12</f>
        <v>0</v>
      </c>
      <c r="C7" s="21" t="n">
        <f aca="false">B7*Calcs!$B$14</f>
        <v>0</v>
      </c>
      <c r="D7" s="13" t="s">
        <v>312</v>
      </c>
    </row>
    <row r="8" customFormat="false" ht="18" hidden="false" customHeight="true" outlineLevel="0" collapsed="false">
      <c r="A8" s="25" t="s">
        <v>313</v>
      </c>
      <c r="B8" s="21" t="n">
        <f aca="false">IFERROR(B5/Calcs!$B$6,0)</f>
        <v>0</v>
      </c>
      <c r="C8" s="21" t="n">
        <f aca="false">B8*Calcs!$B$14</f>
        <v>0</v>
      </c>
      <c r="D8" s="13" t="s">
        <v>314</v>
      </c>
    </row>
    <row r="9" customFormat="false" ht="19.5" hidden="false" customHeight="true" outlineLevel="0" collapsed="false">
      <c r="A9" s="4" t="s">
        <v>315</v>
      </c>
      <c r="B9" s="4"/>
      <c r="C9" s="4"/>
      <c r="D9" s="4"/>
    </row>
    <row r="10" customFormat="false" ht="18" hidden="false" customHeight="true" outlineLevel="0" collapsed="false">
      <c r="A10" s="25" t="s">
        <v>233</v>
      </c>
      <c r="B10" s="21" t="n">
        <f aca="false">Calcs!$B$40</f>
        <v>0</v>
      </c>
      <c r="C10" s="21" t="n">
        <f aca="false">B10*Calcs!$B$14</f>
        <v>0</v>
      </c>
      <c r="D10" s="13" t="s">
        <v>316</v>
      </c>
    </row>
    <row r="11" customFormat="false" ht="18" hidden="false" customHeight="true" outlineLevel="0" collapsed="false">
      <c r="A11" s="25" t="s">
        <v>317</v>
      </c>
      <c r="B11" s="21" t="n">
        <f aca="false">Calcs!$B$41</f>
        <v>0</v>
      </c>
      <c r="C11" s="21" t="n">
        <f aca="false">B11*Calcs!$B$14</f>
        <v>0</v>
      </c>
      <c r="D11" s="13" t="s">
        <v>214</v>
      </c>
    </row>
    <row r="12" customFormat="false" ht="19.5" hidden="false" customHeight="true" outlineLevel="0" collapsed="false">
      <c r="A12" s="4" t="s">
        <v>318</v>
      </c>
      <c r="B12" s="4"/>
      <c r="C12" s="4"/>
      <c r="D12" s="4"/>
    </row>
    <row r="13" customFormat="false" ht="18" hidden="false" customHeight="true" outlineLevel="0" collapsed="false">
      <c r="A13" s="5" t="s">
        <v>319</v>
      </c>
      <c r="B13" s="24" t="n">
        <f aca="false">B5+B10</f>
        <v>0</v>
      </c>
      <c r="C13" s="24" t="n">
        <f aca="false">B13*Calcs!$B$14</f>
        <v>0</v>
      </c>
      <c r="D13" s="13" t="s">
        <v>320</v>
      </c>
    </row>
    <row r="14" customFormat="false" ht="18" hidden="false" customHeight="true" outlineLevel="0" collapsed="false">
      <c r="A14" s="25" t="s">
        <v>321</v>
      </c>
      <c r="B14" s="21" t="n">
        <f aca="false">B13*5</f>
        <v>0</v>
      </c>
      <c r="C14" s="21" t="n">
        <f aca="false">B14*Calcs!$B$14</f>
        <v>0</v>
      </c>
      <c r="D14" s="13" t="s">
        <v>310</v>
      </c>
    </row>
    <row r="15" customFormat="false" ht="18" hidden="false" customHeight="true" outlineLevel="0" collapsed="false">
      <c r="A15" s="5" t="s">
        <v>322</v>
      </c>
      <c r="B15" s="24" t="n">
        <f aca="false">B8+B11</f>
        <v>0</v>
      </c>
      <c r="C15" s="24" t="n">
        <f aca="false">B15*Calcs!$B$14</f>
        <v>0</v>
      </c>
      <c r="D15" s="13" t="s">
        <v>323</v>
      </c>
    </row>
    <row r="16" customFormat="false" ht="18" hidden="false" customHeight="true" outlineLevel="0" collapsed="false">
      <c r="A16" s="25" t="s">
        <v>324</v>
      </c>
      <c r="B16" s="27"/>
      <c r="C16" s="21" t="n">
        <f aca="false">C13*Calcs!$B$19</f>
        <v>0</v>
      </c>
      <c r="D16" s="13" t="s">
        <v>325</v>
      </c>
    </row>
    <row r="17" customFormat="false" ht="18" hidden="false" customHeight="true" outlineLevel="0" collapsed="false">
      <c r="A17" s="25" t="s">
        <v>326</v>
      </c>
      <c r="B17" s="27"/>
      <c r="C17" s="21" t="n">
        <f aca="false">C15*Calcs!$B$19</f>
        <v>0</v>
      </c>
      <c r="D17" s="13" t="s">
        <v>325</v>
      </c>
    </row>
    <row r="19" customFormat="false" ht="19.5" hidden="false" customHeight="true" outlineLevel="0" collapsed="false">
      <c r="A19" s="4" t="s">
        <v>327</v>
      </c>
      <c r="B19" s="4"/>
      <c r="C19" s="4"/>
      <c r="D19" s="4"/>
    </row>
    <row r="20" customFormat="false" ht="30" hidden="false" customHeight="true" outlineLevel="0" collapsed="false">
      <c r="A20" s="5" t="s">
        <v>328</v>
      </c>
      <c r="B20" s="19"/>
      <c r="C20" s="27"/>
      <c r="D20" s="13" t="s">
        <v>329</v>
      </c>
    </row>
    <row r="21" customFormat="false" ht="15" hidden="false" customHeight="false" outlineLevel="0" collapsed="false">
      <c r="A21" s="25" t="s">
        <v>330</v>
      </c>
      <c r="B21" s="21" t="n">
        <f aca="false">B13</f>
        <v>0</v>
      </c>
      <c r="C21" s="27"/>
      <c r="D21" s="13" t="s">
        <v>331</v>
      </c>
    </row>
    <row r="22" customFormat="false" ht="15" hidden="false" customHeight="false" outlineLevel="0" collapsed="false">
      <c r="A22" s="25" t="s">
        <v>332</v>
      </c>
      <c r="B22" s="21" t="n">
        <f aca="false">C13</f>
        <v>0</v>
      </c>
      <c r="C22" s="27"/>
      <c r="D22" s="13" t="s">
        <v>333</v>
      </c>
    </row>
    <row r="23" customFormat="false" ht="15" hidden="false" customHeight="false" outlineLevel="0" collapsed="false">
      <c r="A23" s="25" t="s">
        <v>334</v>
      </c>
      <c r="B23" s="21" t="str">
        <f aca="false">IF(B20="","",B20-B13)</f>
        <v/>
      </c>
      <c r="C23" s="27"/>
      <c r="D23" s="13" t="s">
        <v>335</v>
      </c>
    </row>
    <row r="24" customFormat="false" ht="15" hidden="false" customHeight="false" outlineLevel="0" collapsed="false">
      <c r="A24" s="25" t="s">
        <v>336</v>
      </c>
      <c r="B24" s="38" t="str">
        <f aca="false">IF(OR(B20="",B20=0),"",(B20-B13)/B20)</f>
        <v/>
      </c>
      <c r="C24" s="27"/>
      <c r="D24" s="13" t="s">
        <v>181</v>
      </c>
    </row>
    <row r="25" customFormat="false" ht="22.35" hidden="false" customHeight="false" outlineLevel="0" collapsed="false">
      <c r="A25" s="25" t="s">
        <v>337</v>
      </c>
      <c r="B25" s="42" t="str">
        <f aca="false">IF(B20="","",(B20-B13)*Calcs!$B$9)</f>
        <v/>
      </c>
      <c r="C25" s="27"/>
      <c r="D25" s="13" t="s">
        <v>338</v>
      </c>
    </row>
    <row r="26" customFormat="false" ht="21.75" hidden="false" customHeight="true" outlineLevel="0" collapsed="false">
      <c r="A26" s="5" t="s">
        <v>339</v>
      </c>
      <c r="B26" s="43" t="str">
        <f aca="false">IF(B20="","Enter a planned day rate above to run the check.",IF(B13=0,"Select a crew and fill in the Inputs first.",IF(B20&lt;B13,"BELOW BREAK-EVEN – you lose £"&amp;TEXT(B13-B20,"#,##0")&amp;" per day. Review your price or costs.",IF(B20&lt;C13,"Covers your costs, but £"&amp;TEXT(C13-B20,"#,##0")&amp;" per day short of your target profit.","On or above your target day rate."))))</f>
        <v>Enter a planned day rate above to run the check.</v>
      </c>
      <c r="C26" s="43"/>
      <c r="D26" s="43"/>
    </row>
    <row r="28" customFormat="false" ht="19.5" hidden="false" customHeight="true" outlineLevel="0" collapsed="false">
      <c r="A28" s="4" t="s">
        <v>340</v>
      </c>
      <c r="B28" s="4"/>
      <c r="C28" s="4"/>
      <c r="D28" s="4"/>
    </row>
    <row r="29" customFormat="false" ht="23.85" hidden="false" customHeight="false" outlineLevel="0" collapsed="false">
      <c r="A29" s="25" t="s">
        <v>341</v>
      </c>
      <c r="B29" s="42" t="n">
        <f aca="false">Inputs!$C$36+Inputs!$C$37</f>
        <v>0</v>
      </c>
      <c r="C29" s="27"/>
      <c r="D29" s="13" t="s">
        <v>342</v>
      </c>
    </row>
    <row r="30" customFormat="false" ht="23.85" hidden="false" customHeight="false" outlineLevel="0" collapsed="false">
      <c r="A30" s="25" t="s">
        <v>343</v>
      </c>
      <c r="B30" s="42" t="n">
        <f aca="false">(Inputs!$C$31+Inputs!$C$32)*Calcs!$B$9*Calcs!$B$8</f>
        <v>0</v>
      </c>
      <c r="C30" s="27"/>
      <c r="D30" s="13" t="s">
        <v>344</v>
      </c>
    </row>
    <row r="31" customFormat="false" ht="30" hidden="false" customHeight="true" outlineLevel="0" collapsed="false">
      <c r="A31" s="44" t="s">
        <v>345</v>
      </c>
      <c r="B31" s="44"/>
      <c r="C31" s="44"/>
      <c r="D31" s="44"/>
    </row>
  </sheetData>
  <sheetProtection sheet="true" formatColumns="false" formatRows="false"/>
  <mergeCells count="8">
    <mergeCell ref="A2:D2"/>
    <mergeCell ref="A4:D4"/>
    <mergeCell ref="A9:D9"/>
    <mergeCell ref="A12:D12"/>
    <mergeCell ref="A19:D19"/>
    <mergeCell ref="B26:D26"/>
    <mergeCell ref="A28:D28"/>
    <mergeCell ref="A31:D31"/>
  </mergeCells>
  <conditionalFormatting sqref="B26">
    <cfRule type="expression" priority="2" aboveAverage="0" equalAverage="0" bottom="0" percent="0" rank="0" text="" dxfId="2">
      <formula>LEFT($B$26,5)="BELOW"</formula>
    </cfRule>
    <cfRule type="expression" priority="3" aboveAverage="0" equalAverage="0" bottom="0" percent="0" rank="0" text="" dxfId="3">
      <formula>LEFT($B$26,6)="Covers"</formula>
    </cfRule>
  </conditionalFormatting>
  <dataValidations count="1">
    <dataValidation allowBlank="true" error="Enter £0 or more." errorStyle="stop" errorTitle="Check this number" operator="between" showDropDown="false" showErrorMessage="true" showInputMessage="false" sqref="B20" type="decimal">
      <formula1>0</formula1>
      <formula2>1000000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12"/>
    <col collapsed="false" customWidth="true" hidden="false" outlineLevel="0" max="4" min="4" style="0" width="11"/>
    <col collapsed="false" customWidth="true" hidden="false" outlineLevel="0" max="5" min="5" style="0" width="14"/>
    <col collapsed="false" customWidth="true" hidden="false" outlineLevel="0" max="6" min="6" style="0" width="12"/>
    <col collapsed="false" customWidth="true" hidden="false" outlineLevel="0" max="9" min="7" style="0" width="11"/>
    <col collapsed="false" customWidth="true" hidden="false" outlineLevel="0" max="10" min="10" style="0" width="12"/>
    <col collapsed="false" customWidth="true" hidden="false" outlineLevel="0" max="11" min="11" style="0" width="8"/>
    <col collapsed="false" customWidth="true" hidden="false" outlineLevel="0" max="13" min="12" style="0" width="9"/>
    <col collapsed="false" customWidth="true" hidden="false" outlineLevel="0" max="14" min="14" style="0" width="14"/>
  </cols>
  <sheetData>
    <row r="1" customFormat="false" ht="25.5" hidden="false" customHeight="true" outlineLevel="0" collapsed="false">
      <c r="A1" s="8" t="s">
        <v>346</v>
      </c>
    </row>
    <row r="2" customFormat="false" ht="27.75" hidden="false" customHeight="true" outlineLevel="0" collapsed="false">
      <c r="A2" s="9" t="s">
        <v>347</v>
      </c>
      <c r="B2" s="9"/>
      <c r="C2" s="9"/>
      <c r="D2" s="9"/>
      <c r="E2" s="9"/>
      <c r="F2" s="9"/>
      <c r="G2" s="9"/>
      <c r="H2" s="9"/>
      <c r="I2" s="9"/>
      <c r="J2" s="9"/>
      <c r="K2" s="9"/>
      <c r="L2" s="9"/>
      <c r="M2" s="9"/>
      <c r="N2" s="9"/>
    </row>
    <row r="3" customFormat="false" ht="21.75" hidden="false" customHeight="true" outlineLevel="0" collapsed="false">
      <c r="A3" s="10" t="s">
        <v>348</v>
      </c>
      <c r="B3" s="10" t="s">
        <v>62</v>
      </c>
      <c r="C3" s="10" t="s">
        <v>349</v>
      </c>
      <c r="D3" s="10"/>
      <c r="E3" s="10"/>
      <c r="F3" s="10"/>
      <c r="G3" s="10"/>
      <c r="H3" s="10"/>
    </row>
    <row r="4" customFormat="false" ht="30" hidden="false" customHeight="true" outlineLevel="0" collapsed="false">
      <c r="A4" s="5" t="s">
        <v>350</v>
      </c>
      <c r="B4" s="18" t="n">
        <v>0.15</v>
      </c>
      <c r="C4" s="13" t="s">
        <v>351</v>
      </c>
      <c r="D4" s="13"/>
      <c r="E4" s="13"/>
      <c r="F4" s="13"/>
      <c r="G4" s="13"/>
      <c r="H4" s="13"/>
    </row>
    <row r="5" customFormat="false" ht="30" hidden="false" customHeight="true" outlineLevel="0" collapsed="false">
      <c r="A5" s="5" t="s">
        <v>352</v>
      </c>
      <c r="B5" s="45" t="n">
        <v>5000</v>
      </c>
      <c r="C5" s="13" t="s">
        <v>353</v>
      </c>
      <c r="D5" s="13"/>
      <c r="E5" s="13"/>
      <c r="F5" s="13"/>
      <c r="G5" s="13"/>
      <c r="H5" s="13"/>
    </row>
    <row r="6" customFormat="false" ht="30" hidden="false" customHeight="true" outlineLevel="0" collapsed="false">
      <c r="A6" s="5" t="s">
        <v>354</v>
      </c>
      <c r="B6" s="18" t="n">
        <v>0.03</v>
      </c>
      <c r="C6" s="13" t="s">
        <v>355</v>
      </c>
      <c r="D6" s="13"/>
      <c r="E6" s="13"/>
      <c r="F6" s="13"/>
      <c r="G6" s="13"/>
      <c r="H6" s="13"/>
    </row>
    <row r="7" customFormat="false" ht="30" hidden="false" customHeight="true" outlineLevel="0" collapsed="false">
      <c r="A7" s="5" t="s">
        <v>356</v>
      </c>
      <c r="B7" s="45" t="n">
        <v>6240</v>
      </c>
      <c r="C7" s="13" t="s">
        <v>357</v>
      </c>
      <c r="D7" s="13"/>
      <c r="E7" s="13"/>
      <c r="F7" s="13"/>
      <c r="G7" s="13"/>
      <c r="H7" s="13"/>
    </row>
    <row r="8" customFormat="false" ht="30" hidden="false" customHeight="true" outlineLevel="0" collapsed="false">
      <c r="A8" s="5" t="s">
        <v>358</v>
      </c>
      <c r="B8" s="45" t="n">
        <v>50270</v>
      </c>
      <c r="C8" s="13" t="s">
        <v>359</v>
      </c>
      <c r="D8" s="13"/>
      <c r="E8" s="13"/>
      <c r="F8" s="13"/>
      <c r="G8" s="13"/>
      <c r="H8" s="13"/>
    </row>
    <row r="9" customFormat="false" ht="30" hidden="false" customHeight="true" outlineLevel="0" collapsed="false">
      <c r="A9" s="5" t="s">
        <v>360</v>
      </c>
      <c r="B9" s="45" t="n">
        <v>10000</v>
      </c>
      <c r="C9" s="13" t="s">
        <v>361</v>
      </c>
      <c r="D9" s="13"/>
      <c r="E9" s="13"/>
      <c r="F9" s="13"/>
      <c r="G9" s="13"/>
      <c r="H9" s="13"/>
    </row>
    <row r="10" customFormat="false" ht="30" hidden="false" customHeight="true" outlineLevel="0" collapsed="false">
      <c r="A10" s="5" t="s">
        <v>362</v>
      </c>
      <c r="B10" s="14" t="n">
        <v>28</v>
      </c>
      <c r="C10" s="13" t="s">
        <v>363</v>
      </c>
      <c r="D10" s="13"/>
      <c r="E10" s="13"/>
      <c r="F10" s="13"/>
      <c r="G10" s="13"/>
      <c r="H10" s="13"/>
    </row>
    <row r="11" customFormat="false" ht="30" hidden="false" customHeight="true" outlineLevel="0" collapsed="false">
      <c r="A11" s="13" t="s">
        <v>364</v>
      </c>
      <c r="B11" s="13"/>
      <c r="C11" s="13"/>
      <c r="D11" s="13"/>
      <c r="E11" s="13"/>
      <c r="F11" s="13"/>
      <c r="G11" s="13"/>
      <c r="H11" s="13"/>
      <c r="I11" s="13"/>
      <c r="J11" s="13"/>
      <c r="K11" s="13"/>
      <c r="L11" s="13"/>
      <c r="M11" s="13"/>
      <c r="N11" s="13"/>
    </row>
    <row r="13" customFormat="false" ht="57.75" hidden="false" customHeight="true" outlineLevel="0" collapsed="false">
      <c r="A13" s="10" t="s">
        <v>92</v>
      </c>
      <c r="B13" s="10" t="s">
        <v>95</v>
      </c>
      <c r="C13" s="10" t="s">
        <v>365</v>
      </c>
      <c r="D13" s="10" t="s">
        <v>366</v>
      </c>
      <c r="E13" s="10" t="s">
        <v>367</v>
      </c>
      <c r="F13" s="10" t="s">
        <v>368</v>
      </c>
      <c r="G13" s="10" t="s">
        <v>369</v>
      </c>
      <c r="H13" s="10" t="s">
        <v>370</v>
      </c>
      <c r="I13" s="10" t="s">
        <v>371</v>
      </c>
      <c r="J13" s="10" t="s">
        <v>372</v>
      </c>
      <c r="K13" s="10" t="s">
        <v>373</v>
      </c>
      <c r="L13" s="10" t="s">
        <v>374</v>
      </c>
      <c r="M13" s="10" t="s">
        <v>375</v>
      </c>
      <c r="N13" s="10" t="s">
        <v>376</v>
      </c>
    </row>
    <row r="14" customFormat="false" ht="15" hidden="false" customHeight="false" outlineLevel="0" collapsed="false">
      <c r="A14" s="5" t="str">
        <f aca="false">Calcs!$A$22</f>
        <v>Person 1</v>
      </c>
      <c r="B14" s="35" t="str">
        <f aca="false">IF(Inputs!$D$20="","",Inputs!$D$20)</f>
        <v/>
      </c>
      <c r="C14" s="21" t="str">
        <f aca="false">IF(AND(Inputs!$D$20="Employee",Inputs!$E$20&lt;&gt;""),Inputs!$E$20,"")</f>
        <v/>
      </c>
      <c r="D14" s="14" t="n">
        <v>28</v>
      </c>
      <c r="E14" s="45"/>
      <c r="F14" s="42" t="str">
        <f aca="false">IF(E14&lt;&gt;"",E14,IF(C14="","",C14*(Calcs!$B$5+D14)))</f>
        <v/>
      </c>
      <c r="G14" s="42" t="str">
        <f aca="false">IF(F14="","",MAX(0,F14-$B$5)*$B$4)</f>
        <v/>
      </c>
      <c r="H14" s="42" t="str">
        <f aca="false">IF(F14="","",IF(F14&lt;$B$9,0,MAX(0,MIN(F14,$B$8)-$B$7)*$B$6))</f>
        <v/>
      </c>
      <c r="I14" s="42" t="str">
        <f aca="false">IF(F14="","",F14*D14/(Calcs!$B$5+D14))</f>
        <v/>
      </c>
      <c r="J14" s="42" t="str">
        <f aca="false">IF(F14="","",F14-I14)</f>
        <v/>
      </c>
      <c r="K14" s="32" t="str">
        <f aca="false">IF(F14="","",IFERROR(G14/J14,0))</f>
        <v/>
      </c>
      <c r="L14" s="32" t="str">
        <f aca="false">IF(F14="","",IFERROR(H14/J14,0))</f>
        <v/>
      </c>
      <c r="M14" s="32" t="str">
        <f aca="false">IF(F14="","",IFERROR(I14/J14,0))</f>
        <v/>
      </c>
      <c r="N14" s="46" t="str">
        <f aca="false">IF(F14="","",K14+L14+M14)</f>
        <v/>
      </c>
    </row>
    <row r="15" customFormat="false" ht="15" hidden="false" customHeight="false" outlineLevel="0" collapsed="false">
      <c r="A15" s="5" t="str">
        <f aca="false">Calcs!$A$23</f>
        <v>Person 2</v>
      </c>
      <c r="B15" s="35" t="str">
        <f aca="false">IF(Inputs!$D$21="","",Inputs!$D$21)</f>
        <v/>
      </c>
      <c r="C15" s="21" t="str">
        <f aca="false">IF(AND(Inputs!$D$21="Employee",Inputs!$E$21&lt;&gt;""),Inputs!$E$21,"")</f>
        <v/>
      </c>
      <c r="D15" s="14" t="n">
        <v>28</v>
      </c>
      <c r="E15" s="45"/>
      <c r="F15" s="42" t="str">
        <f aca="false">IF(E15&lt;&gt;"",E15,IF(C15="","",C15*(Calcs!$B$5+D15)))</f>
        <v/>
      </c>
      <c r="G15" s="42" t="str">
        <f aca="false">IF(F15="","",MAX(0,F15-$B$5)*$B$4)</f>
        <v/>
      </c>
      <c r="H15" s="42" t="str">
        <f aca="false">IF(F15="","",IF(F15&lt;$B$9,0,MAX(0,MIN(F15,$B$8)-$B$7)*$B$6))</f>
        <v/>
      </c>
      <c r="I15" s="42" t="str">
        <f aca="false">IF(F15="","",F15*D15/(Calcs!$B$5+D15))</f>
        <v/>
      </c>
      <c r="J15" s="42" t="str">
        <f aca="false">IF(F15="","",F15-I15)</f>
        <v/>
      </c>
      <c r="K15" s="32" t="str">
        <f aca="false">IF(F15="","",IFERROR(G15/J15,0))</f>
        <v/>
      </c>
      <c r="L15" s="32" t="str">
        <f aca="false">IF(F15="","",IFERROR(H15/J15,0))</f>
        <v/>
      </c>
      <c r="M15" s="32" t="str">
        <f aca="false">IF(F15="","",IFERROR(I15/J15,0))</f>
        <v/>
      </c>
      <c r="N15" s="46" t="str">
        <f aca="false">IF(F15="","",K15+L15+M15)</f>
        <v/>
      </c>
    </row>
    <row r="16" customFormat="false" ht="15" hidden="false" customHeight="false" outlineLevel="0" collapsed="false">
      <c r="A16" s="5" t="str">
        <f aca="false">Calcs!$A$24</f>
        <v>Person 3</v>
      </c>
      <c r="B16" s="35" t="str">
        <f aca="false">IF(Inputs!$D$22="","",Inputs!$D$22)</f>
        <v/>
      </c>
      <c r="C16" s="21" t="str">
        <f aca="false">IF(AND(Inputs!$D$22="Employee",Inputs!$E$22&lt;&gt;""),Inputs!$E$22,"")</f>
        <v/>
      </c>
      <c r="D16" s="14" t="n">
        <v>28</v>
      </c>
      <c r="E16" s="45"/>
      <c r="F16" s="42" t="str">
        <f aca="false">IF(E16&lt;&gt;"",E16,IF(C16="","",C16*(Calcs!$B$5+D16)))</f>
        <v/>
      </c>
      <c r="G16" s="42" t="str">
        <f aca="false">IF(F16="","",MAX(0,F16-$B$5)*$B$4)</f>
        <v/>
      </c>
      <c r="H16" s="42" t="str">
        <f aca="false">IF(F16="","",IF(F16&lt;$B$9,0,MAX(0,MIN(F16,$B$8)-$B$7)*$B$6))</f>
        <v/>
      </c>
      <c r="I16" s="42" t="str">
        <f aca="false">IF(F16="","",F16*D16/(Calcs!$B$5+D16))</f>
        <v/>
      </c>
      <c r="J16" s="42" t="str">
        <f aca="false">IF(F16="","",F16-I16)</f>
        <v/>
      </c>
      <c r="K16" s="32" t="str">
        <f aca="false">IF(F16="","",IFERROR(G16/J16,0))</f>
        <v/>
      </c>
      <c r="L16" s="32" t="str">
        <f aca="false">IF(F16="","",IFERROR(H16/J16,0))</f>
        <v/>
      </c>
      <c r="M16" s="32" t="str">
        <f aca="false">IF(F16="","",IFERROR(I16/J16,0))</f>
        <v/>
      </c>
      <c r="N16" s="46" t="str">
        <f aca="false">IF(F16="","",K16+L16+M16)</f>
        <v/>
      </c>
    </row>
    <row r="17" customFormat="false" ht="15" hidden="false" customHeight="false" outlineLevel="0" collapsed="false">
      <c r="A17" s="5" t="str">
        <f aca="false">Calcs!$A$25</f>
        <v>Person 4</v>
      </c>
      <c r="B17" s="35" t="str">
        <f aca="false">IF(Inputs!$D$23="","",Inputs!$D$23)</f>
        <v/>
      </c>
      <c r="C17" s="21" t="str">
        <f aca="false">IF(AND(Inputs!$D$23="Employee",Inputs!$E$23&lt;&gt;""),Inputs!$E$23,"")</f>
        <v/>
      </c>
      <c r="D17" s="14" t="n">
        <v>28</v>
      </c>
      <c r="E17" s="45"/>
      <c r="F17" s="42" t="str">
        <f aca="false">IF(E17&lt;&gt;"",E17,IF(C17="","",C17*(Calcs!$B$5+D17)))</f>
        <v/>
      </c>
      <c r="G17" s="42" t="str">
        <f aca="false">IF(F17="","",MAX(0,F17-$B$5)*$B$4)</f>
        <v/>
      </c>
      <c r="H17" s="42" t="str">
        <f aca="false">IF(F17="","",IF(F17&lt;$B$9,0,MAX(0,MIN(F17,$B$8)-$B$7)*$B$6))</f>
        <v/>
      </c>
      <c r="I17" s="42" t="str">
        <f aca="false">IF(F17="","",F17*D17/(Calcs!$B$5+D17))</f>
        <v/>
      </c>
      <c r="J17" s="42" t="str">
        <f aca="false">IF(F17="","",F17-I17)</f>
        <v/>
      </c>
      <c r="K17" s="32" t="str">
        <f aca="false">IF(F17="","",IFERROR(G17/J17,0))</f>
        <v/>
      </c>
      <c r="L17" s="32" t="str">
        <f aca="false">IF(F17="","",IFERROR(H17/J17,0))</f>
        <v/>
      </c>
      <c r="M17" s="32" t="str">
        <f aca="false">IF(F17="","",IFERROR(I17/J17,0))</f>
        <v/>
      </c>
      <c r="N17" s="46" t="str">
        <f aca="false">IF(F17="","",K17+L17+M17)</f>
        <v/>
      </c>
    </row>
    <row r="18" customFormat="false" ht="15" hidden="false" customHeight="false" outlineLevel="0" collapsed="false">
      <c r="A18" s="5" t="str">
        <f aca="false">Calcs!$A$26</f>
        <v>Person 5</v>
      </c>
      <c r="B18" s="35" t="str">
        <f aca="false">IF(Inputs!$D$24="","",Inputs!$D$24)</f>
        <v/>
      </c>
      <c r="C18" s="21" t="str">
        <f aca="false">IF(AND(Inputs!$D$24="Employee",Inputs!$E$24&lt;&gt;""),Inputs!$E$24,"")</f>
        <v/>
      </c>
      <c r="D18" s="14" t="n">
        <v>28</v>
      </c>
      <c r="E18" s="45"/>
      <c r="F18" s="42" t="str">
        <f aca="false">IF(E18&lt;&gt;"",E18,IF(C18="","",C18*(Calcs!$B$5+D18)))</f>
        <v/>
      </c>
      <c r="G18" s="42" t="str">
        <f aca="false">IF(F18="","",MAX(0,F18-$B$5)*$B$4)</f>
        <v/>
      </c>
      <c r="H18" s="42" t="str">
        <f aca="false">IF(F18="","",IF(F18&lt;$B$9,0,MAX(0,MIN(F18,$B$8)-$B$7)*$B$6))</f>
        <v/>
      </c>
      <c r="I18" s="42" t="str">
        <f aca="false">IF(F18="","",F18*D18/(Calcs!$B$5+D18))</f>
        <v/>
      </c>
      <c r="J18" s="42" t="str">
        <f aca="false">IF(F18="","",F18-I18)</f>
        <v/>
      </c>
      <c r="K18" s="32" t="str">
        <f aca="false">IF(F18="","",IFERROR(G18/J18,0))</f>
        <v/>
      </c>
      <c r="L18" s="32" t="str">
        <f aca="false">IF(F18="","",IFERROR(H18/J18,0))</f>
        <v/>
      </c>
      <c r="M18" s="32" t="str">
        <f aca="false">IF(F18="","",IFERROR(I18/J18,0))</f>
        <v/>
      </c>
      <c r="N18" s="46" t="str">
        <f aca="false">IF(F18="","",K18+L18+M18)</f>
        <v/>
      </c>
    </row>
    <row r="19" customFormat="false" ht="15" hidden="false" customHeight="false" outlineLevel="0" collapsed="false">
      <c r="A19" s="5" t="str">
        <f aca="false">Calcs!$A$27</f>
        <v>Person 6</v>
      </c>
      <c r="B19" s="35" t="str">
        <f aca="false">IF(Inputs!$D$25="","",Inputs!$D$25)</f>
        <v/>
      </c>
      <c r="C19" s="21" t="str">
        <f aca="false">IF(AND(Inputs!$D$25="Employee",Inputs!$E$25&lt;&gt;""),Inputs!$E$25,"")</f>
        <v/>
      </c>
      <c r="D19" s="14" t="n">
        <v>28</v>
      </c>
      <c r="E19" s="45"/>
      <c r="F19" s="42" t="str">
        <f aca="false">IF(E19&lt;&gt;"",E19,IF(C19="","",C19*(Calcs!$B$5+D19)))</f>
        <v/>
      </c>
      <c r="G19" s="42" t="str">
        <f aca="false">IF(F19="","",MAX(0,F19-$B$5)*$B$4)</f>
        <v/>
      </c>
      <c r="H19" s="42" t="str">
        <f aca="false">IF(F19="","",IF(F19&lt;$B$9,0,MAX(0,MIN(F19,$B$8)-$B$7)*$B$6))</f>
        <v/>
      </c>
      <c r="I19" s="42" t="str">
        <f aca="false">IF(F19="","",F19*D19/(Calcs!$B$5+D19))</f>
        <v/>
      </c>
      <c r="J19" s="42" t="str">
        <f aca="false">IF(F19="","",F19-I19)</f>
        <v/>
      </c>
      <c r="K19" s="32" t="str">
        <f aca="false">IF(F19="","",IFERROR(G19/J19,0))</f>
        <v/>
      </c>
      <c r="L19" s="32" t="str">
        <f aca="false">IF(F19="","",IFERROR(H19/J19,0))</f>
        <v/>
      </c>
      <c r="M19" s="32" t="str">
        <f aca="false">IF(F19="","",IFERROR(I19/J19,0))</f>
        <v/>
      </c>
      <c r="N19" s="46" t="str">
        <f aca="false">IF(F19="","",K19+L19+M19)</f>
        <v/>
      </c>
    </row>
    <row r="20" customFormat="false" ht="15" hidden="false" customHeight="false" outlineLevel="0" collapsed="false">
      <c r="A20" s="5" t="str">
        <f aca="false">Calcs!$A$28</f>
        <v>Person 7</v>
      </c>
      <c r="B20" s="35" t="str">
        <f aca="false">IF(Inputs!$D$26="","",Inputs!$D$26)</f>
        <v/>
      </c>
      <c r="C20" s="21" t="str">
        <f aca="false">IF(AND(Inputs!$D$26="Employee",Inputs!$E$26&lt;&gt;""),Inputs!$E$26,"")</f>
        <v/>
      </c>
      <c r="D20" s="14" t="n">
        <v>28</v>
      </c>
      <c r="E20" s="45"/>
      <c r="F20" s="42" t="str">
        <f aca="false">IF(E20&lt;&gt;"",E20,IF(C20="","",C20*(Calcs!$B$5+D20)))</f>
        <v/>
      </c>
      <c r="G20" s="42" t="str">
        <f aca="false">IF(F20="","",MAX(0,F20-$B$5)*$B$4)</f>
        <v/>
      </c>
      <c r="H20" s="42" t="str">
        <f aca="false">IF(F20="","",IF(F20&lt;$B$9,0,MAX(0,MIN(F20,$B$8)-$B$7)*$B$6))</f>
        <v/>
      </c>
      <c r="I20" s="42" t="str">
        <f aca="false">IF(F20="","",F20*D20/(Calcs!$B$5+D20))</f>
        <v/>
      </c>
      <c r="J20" s="42" t="str">
        <f aca="false">IF(F20="","",F20-I20)</f>
        <v/>
      </c>
      <c r="K20" s="32" t="str">
        <f aca="false">IF(F20="","",IFERROR(G20/J20,0))</f>
        <v/>
      </c>
      <c r="L20" s="32" t="str">
        <f aca="false">IF(F20="","",IFERROR(H20/J20,0))</f>
        <v/>
      </c>
      <c r="M20" s="32" t="str">
        <f aca="false">IF(F20="","",IFERROR(I20/J20,0))</f>
        <v/>
      </c>
      <c r="N20" s="46" t="str">
        <f aca="false">IF(F20="","",K20+L20+M20)</f>
        <v/>
      </c>
    </row>
    <row r="21" customFormat="false" ht="15" hidden="false" customHeight="false" outlineLevel="0" collapsed="false">
      <c r="A21" s="5" t="str">
        <f aca="false">Calcs!$A$29</f>
        <v>Person 8</v>
      </c>
      <c r="B21" s="35" t="str">
        <f aca="false">IF(Inputs!$D$27="","",Inputs!$D$27)</f>
        <v/>
      </c>
      <c r="C21" s="21" t="str">
        <f aca="false">IF(AND(Inputs!$D$27="Employee",Inputs!$E$27&lt;&gt;""),Inputs!$E$27,"")</f>
        <v/>
      </c>
      <c r="D21" s="14" t="n">
        <v>28</v>
      </c>
      <c r="E21" s="45"/>
      <c r="F21" s="42" t="str">
        <f aca="false">IF(E21&lt;&gt;"",E21,IF(C21="","",C21*(Calcs!$B$5+D21)))</f>
        <v/>
      </c>
      <c r="G21" s="42" t="str">
        <f aca="false">IF(F21="","",MAX(0,F21-$B$5)*$B$4)</f>
        <v/>
      </c>
      <c r="H21" s="42" t="str">
        <f aca="false">IF(F21="","",IF(F21&lt;$B$9,0,MAX(0,MIN(F21,$B$8)-$B$7)*$B$6))</f>
        <v/>
      </c>
      <c r="I21" s="42" t="str">
        <f aca="false">IF(F21="","",F21*D21/(Calcs!$B$5+D21))</f>
        <v/>
      </c>
      <c r="J21" s="42" t="str">
        <f aca="false">IF(F21="","",F21-I21)</f>
        <v/>
      </c>
      <c r="K21" s="32" t="str">
        <f aca="false">IF(F21="","",IFERROR(G21/J21,0))</f>
        <v/>
      </c>
      <c r="L21" s="32" t="str">
        <f aca="false">IF(F21="","",IFERROR(H21/J21,0))</f>
        <v/>
      </c>
      <c r="M21" s="32" t="str">
        <f aca="false">IF(F21="","",IFERROR(I21/J21,0))</f>
        <v/>
      </c>
      <c r="N21" s="46" t="str">
        <f aca="false">IF(F21="","",K21+L21+M21)</f>
        <v/>
      </c>
    </row>
    <row r="23" customFormat="false" ht="43.5" hidden="false" customHeight="true" outlineLevel="0" collapsed="false">
      <c r="A23" s="13" t="s">
        <v>377</v>
      </c>
      <c r="B23" s="13"/>
      <c r="C23" s="13"/>
      <c r="D23" s="13"/>
      <c r="E23" s="13"/>
      <c r="F23" s="13"/>
      <c r="G23" s="13"/>
      <c r="H23" s="13"/>
      <c r="I23" s="13"/>
      <c r="J23" s="13"/>
      <c r="K23" s="13"/>
      <c r="L23" s="13"/>
      <c r="M23" s="13"/>
      <c r="N23" s="13"/>
    </row>
    <row r="24" customFormat="false" ht="15" hidden="false" customHeight="true" outlineLevel="0" collapsed="false">
      <c r="A24" s="44" t="s">
        <v>378</v>
      </c>
      <c r="B24" s="44"/>
      <c r="C24" s="44"/>
      <c r="D24" s="44"/>
      <c r="E24" s="44"/>
      <c r="F24" s="44"/>
      <c r="G24" s="44"/>
      <c r="H24" s="44"/>
      <c r="I24" s="44"/>
      <c r="J24" s="44"/>
      <c r="K24" s="44"/>
      <c r="L24" s="44"/>
      <c r="M24" s="44"/>
      <c r="N24" s="44"/>
    </row>
  </sheetData>
  <sheetProtection sheet="true" formatColumns="false" formatRows="false"/>
  <mergeCells count="12">
    <mergeCell ref="A2:N2"/>
    <mergeCell ref="C3:H3"/>
    <mergeCell ref="C4:H4"/>
    <mergeCell ref="C5:H5"/>
    <mergeCell ref="C6:H6"/>
    <mergeCell ref="C7:H7"/>
    <mergeCell ref="C8:H8"/>
    <mergeCell ref="C9:H9"/>
    <mergeCell ref="C10:H10"/>
    <mergeCell ref="A11:N11"/>
    <mergeCell ref="A23:N23"/>
    <mergeCell ref="A24:N24"/>
  </mergeCells>
  <dataValidations count="2">
    <dataValidation allowBlank="true" error="Enter £0 or more." errorStyle="stop" errorTitle="Check this number" operator="between" showDropDown="false" showErrorMessage="true" showInputMessage="false" sqref="E14:E21" type="decimal">
      <formula1>0</formula1>
      <formula2>10000000</formula2>
    </dataValidation>
    <dataValidation allowBlank="true" error="Enter days between 0 and 60." errorStyle="stop" errorTitle="Check this number" operator="between" showDropDown="false" showErrorMessage="true" showInputMessage="false" sqref="D14:D21" type="decimal">
      <formula1>0</formula1>
      <formula2>60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0"/>
    <col collapsed="false" customWidth="true" hidden="false" outlineLevel="0" max="3" min="3" style="0" width="18"/>
    <col collapsed="false" customWidth="true" hidden="false" outlineLevel="0" max="4" min="4" style="0" width="62"/>
  </cols>
  <sheetData>
    <row r="1" customFormat="false" ht="25.5" hidden="false" customHeight="true" outlineLevel="0" collapsed="false">
      <c r="A1" s="8" t="s">
        <v>379</v>
      </c>
    </row>
    <row r="2" customFormat="false" ht="27.75" hidden="false" customHeight="true" outlineLevel="0" collapsed="false">
      <c r="A2" s="9" t="s">
        <v>380</v>
      </c>
      <c r="B2" s="9"/>
      <c r="C2" s="9"/>
      <c r="D2" s="9"/>
    </row>
    <row r="3" customFormat="false" ht="21.75" hidden="false" customHeight="true" outlineLevel="0" collapsed="false">
      <c r="A3" s="10" t="s">
        <v>61</v>
      </c>
      <c r="B3" s="10" t="s">
        <v>381</v>
      </c>
      <c r="C3" s="10" t="s">
        <v>339</v>
      </c>
      <c r="D3" s="10" t="s">
        <v>382</v>
      </c>
    </row>
    <row r="4" customFormat="false" ht="19.5" hidden="false" customHeight="true" outlineLevel="0" collapsed="false">
      <c r="A4" s="4" t="s">
        <v>383</v>
      </c>
      <c r="B4" s="4"/>
      <c r="C4" s="4"/>
      <c r="D4" s="4"/>
    </row>
    <row r="5" customFormat="false" ht="15" hidden="false" customHeight="false" outlineLevel="0" collapsed="false">
      <c r="A5" s="25" t="s">
        <v>384</v>
      </c>
      <c r="B5" s="19" t="n">
        <v>1000</v>
      </c>
      <c r="C5" s="27"/>
      <c r="D5" s="13" t="s">
        <v>385</v>
      </c>
    </row>
    <row r="6" customFormat="false" ht="15" hidden="false" customHeight="false" outlineLevel="0" collapsed="false">
      <c r="A6" s="25" t="s">
        <v>386</v>
      </c>
      <c r="B6" s="18" t="n">
        <v>0.2</v>
      </c>
      <c r="C6" s="27"/>
      <c r="D6" s="13" t="s">
        <v>385</v>
      </c>
    </row>
    <row r="7" customFormat="false" ht="15" hidden="false" customHeight="false" outlineLevel="0" collapsed="false">
      <c r="A7" s="25" t="s">
        <v>387</v>
      </c>
      <c r="B7" s="27"/>
      <c r="C7" s="24" t="n">
        <f aca="false">B5*(1+B6)</f>
        <v>1200</v>
      </c>
      <c r="D7" s="13" t="s">
        <v>388</v>
      </c>
    </row>
    <row r="8" customFormat="false" ht="15" hidden="false" customHeight="false" outlineLevel="0" collapsed="false">
      <c r="A8" s="25" t="s">
        <v>389</v>
      </c>
      <c r="B8" s="27"/>
      <c r="C8" s="47" t="n">
        <f aca="false">1-B5/C7</f>
        <v>0.166666666666667</v>
      </c>
      <c r="D8" s="13" t="s">
        <v>390</v>
      </c>
    </row>
    <row r="9" customFormat="false" ht="15" hidden="false" customHeight="false" outlineLevel="0" collapsed="false">
      <c r="A9" s="25" t="s">
        <v>391</v>
      </c>
      <c r="B9" s="27"/>
      <c r="C9" s="24" t="n">
        <f aca="false">B5/(1-B6)</f>
        <v>1250</v>
      </c>
      <c r="D9" s="13" t="s">
        <v>392</v>
      </c>
    </row>
    <row r="10" customFormat="false" ht="22.35" hidden="false" customHeight="false" outlineLevel="0" collapsed="false">
      <c r="A10" s="25" t="s">
        <v>389</v>
      </c>
      <c r="B10" s="27"/>
      <c r="C10" s="47" t="n">
        <f aca="false">1-B5/C9</f>
        <v>0.2</v>
      </c>
      <c r="D10" s="13" t="s">
        <v>393</v>
      </c>
    </row>
    <row r="12" customFormat="false" ht="19.5" hidden="false" customHeight="true" outlineLevel="0" collapsed="false">
      <c r="A12" s="4" t="s">
        <v>394</v>
      </c>
      <c r="B12" s="4"/>
      <c r="C12" s="4"/>
      <c r="D12" s="4"/>
    </row>
    <row r="13" customFormat="false" ht="18" hidden="false" customHeight="true" outlineLevel="0" collapsed="false">
      <c r="A13" s="25" t="s">
        <v>68</v>
      </c>
      <c r="B13" s="48" t="n">
        <v>220</v>
      </c>
      <c r="C13" s="49"/>
      <c r="D13" s="13" t="s">
        <v>395</v>
      </c>
    </row>
    <row r="14" customFormat="false" ht="18" hidden="false" customHeight="true" outlineLevel="0" collapsed="false">
      <c r="A14" s="25" t="s">
        <v>72</v>
      </c>
      <c r="B14" s="50" t="n">
        <v>0.75</v>
      </c>
      <c r="C14" s="49"/>
      <c r="D14" s="13" t="s">
        <v>396</v>
      </c>
    </row>
    <row r="15" customFormat="false" ht="18" hidden="false" customHeight="true" outlineLevel="0" collapsed="false">
      <c r="A15" s="25" t="s">
        <v>267</v>
      </c>
      <c r="B15" s="49" t="s">
        <v>397</v>
      </c>
      <c r="C15" s="49"/>
      <c r="D15" s="13" t="s">
        <v>398</v>
      </c>
    </row>
    <row r="16" customFormat="false" ht="18" hidden="false" customHeight="true" outlineLevel="0" collapsed="false">
      <c r="A16" s="25" t="s">
        <v>185</v>
      </c>
      <c r="B16" s="49" t="s">
        <v>86</v>
      </c>
      <c r="C16" s="49"/>
      <c r="D16" s="13" t="s">
        <v>399</v>
      </c>
    </row>
    <row r="17" customFormat="false" ht="18" hidden="false" customHeight="true" outlineLevel="0" collapsed="false">
      <c r="A17" s="25" t="s">
        <v>400</v>
      </c>
      <c r="B17" s="51" t="n">
        <v>150</v>
      </c>
      <c r="C17" s="49"/>
      <c r="D17" s="13" t="s">
        <v>401</v>
      </c>
    </row>
    <row r="18" customFormat="false" ht="18" hidden="false" customHeight="true" outlineLevel="0" collapsed="false">
      <c r="A18" s="25" t="s">
        <v>402</v>
      </c>
      <c r="B18" s="51" t="n">
        <v>115</v>
      </c>
      <c r="C18" s="49"/>
      <c r="D18" s="13" t="s">
        <v>403</v>
      </c>
    </row>
    <row r="19" customFormat="false" ht="18" hidden="false" customHeight="true" outlineLevel="0" collapsed="false">
      <c r="A19" s="25" t="s">
        <v>404</v>
      </c>
      <c r="B19" s="51" t="n">
        <v>200</v>
      </c>
      <c r="C19" s="49"/>
      <c r="D19" s="13" t="s">
        <v>405</v>
      </c>
    </row>
    <row r="20" customFormat="false" ht="30" hidden="false" customHeight="true" outlineLevel="0" collapsed="false">
      <c r="A20" s="25" t="s">
        <v>406</v>
      </c>
      <c r="B20" s="51" t="n">
        <v>70</v>
      </c>
      <c r="C20" s="49"/>
      <c r="D20" s="13" t="s">
        <v>344</v>
      </c>
    </row>
    <row r="21" customFormat="false" ht="30" hidden="false" customHeight="true" outlineLevel="0" collapsed="false">
      <c r="A21" s="25" t="s">
        <v>407</v>
      </c>
      <c r="B21" s="51" t="n">
        <v>18000</v>
      </c>
      <c r="C21" s="49"/>
      <c r="D21" s="13" t="s">
        <v>342</v>
      </c>
    </row>
    <row r="22" customFormat="false" ht="18" hidden="false" customHeight="true" outlineLevel="0" collapsed="false">
      <c r="A22" s="25" t="s">
        <v>408</v>
      </c>
      <c r="B22" s="51" t="n">
        <v>33900</v>
      </c>
      <c r="C22" s="49"/>
      <c r="D22" s="13" t="s">
        <v>409</v>
      </c>
    </row>
    <row r="23" customFormat="false" ht="18" hidden="false" customHeight="true" outlineLevel="0" collapsed="false">
      <c r="A23" s="25" t="s">
        <v>410</v>
      </c>
      <c r="B23" s="52" t="n">
        <v>2</v>
      </c>
      <c r="C23" s="49"/>
      <c r="D23" s="13" t="s">
        <v>411</v>
      </c>
    </row>
    <row r="24" customFormat="false" ht="30" hidden="false" customHeight="true" outlineLevel="0" collapsed="false">
      <c r="A24" s="25" t="s">
        <v>412</v>
      </c>
      <c r="B24" s="51" t="n">
        <v>310</v>
      </c>
      <c r="C24" s="49"/>
      <c r="D24" s="13" t="s">
        <v>413</v>
      </c>
    </row>
    <row r="25" customFormat="false" ht="18" hidden="false" customHeight="true" outlineLevel="0" collapsed="false">
      <c r="A25" s="25" t="s">
        <v>414</v>
      </c>
      <c r="B25" s="50" t="n">
        <v>0.05</v>
      </c>
      <c r="C25" s="49"/>
      <c r="D25" s="13"/>
    </row>
    <row r="26" customFormat="false" ht="18" hidden="false" customHeight="true" outlineLevel="0" collapsed="false">
      <c r="A26" s="25" t="s">
        <v>271</v>
      </c>
      <c r="B26" s="51" t="n">
        <v>350</v>
      </c>
      <c r="C26" s="49"/>
      <c r="D26" s="13"/>
    </row>
    <row r="27" customFormat="false" ht="18" hidden="false" customHeight="true" outlineLevel="0" collapsed="false">
      <c r="A27" s="25" t="s">
        <v>415</v>
      </c>
      <c r="B27" s="51" t="n">
        <v>1100</v>
      </c>
      <c r="C27" s="49"/>
      <c r="D27" s="13"/>
    </row>
    <row r="29" customFormat="false" ht="19.5" hidden="false" customHeight="true" outlineLevel="0" collapsed="false">
      <c r="A29" s="4" t="s">
        <v>416</v>
      </c>
      <c r="B29" s="4"/>
      <c r="C29" s="4"/>
      <c r="D29" s="4"/>
    </row>
    <row r="30" customFormat="false" ht="18" hidden="false" customHeight="true" outlineLevel="0" collapsed="false">
      <c r="A30" s="25" t="s">
        <v>417</v>
      </c>
      <c r="B30" s="49"/>
      <c r="C30" s="50" t="n">
        <v>0.301781818181818</v>
      </c>
      <c r="D30" s="13" t="s">
        <v>418</v>
      </c>
    </row>
    <row r="31" customFormat="false" ht="18" hidden="false" customHeight="true" outlineLevel="0" collapsed="false">
      <c r="A31" s="25" t="s">
        <v>233</v>
      </c>
      <c r="B31" s="49"/>
      <c r="C31" s="51" t="n">
        <v>314.545454545455</v>
      </c>
      <c r="D31" s="13" t="s">
        <v>419</v>
      </c>
    </row>
    <row r="32" customFormat="false" ht="18" hidden="false" customHeight="true" outlineLevel="0" collapsed="false">
      <c r="A32" s="25" t="s">
        <v>420</v>
      </c>
      <c r="B32" s="49"/>
      <c r="C32" s="51" t="n">
        <v>235.909090909091</v>
      </c>
      <c r="D32" s="13" t="s">
        <v>421</v>
      </c>
    </row>
    <row r="33" customFormat="false" ht="18" hidden="false" customHeight="true" outlineLevel="0" collapsed="false">
      <c r="A33" s="25" t="s">
        <v>422</v>
      </c>
      <c r="B33" s="49"/>
      <c r="C33" s="51" t="n">
        <v>728.66</v>
      </c>
      <c r="D33" s="13" t="s">
        <v>423</v>
      </c>
    </row>
    <row r="34" customFormat="false" ht="18" hidden="false" customHeight="true" outlineLevel="0" collapsed="false">
      <c r="A34" s="25" t="s">
        <v>330</v>
      </c>
      <c r="B34" s="49"/>
      <c r="C34" s="51" t="n">
        <v>1043.20545454545</v>
      </c>
      <c r="D34" s="13" t="s">
        <v>424</v>
      </c>
    </row>
    <row r="35" customFormat="false" ht="18" hidden="false" customHeight="true" outlineLevel="0" collapsed="false">
      <c r="A35" s="5" t="s">
        <v>425</v>
      </c>
      <c r="B35" s="49"/>
      <c r="C35" s="53" t="n">
        <v>1304.00681818182</v>
      </c>
      <c r="D35" s="13" t="s">
        <v>426</v>
      </c>
    </row>
    <row r="36" customFormat="false" ht="18" hidden="false" customHeight="true" outlineLevel="0" collapsed="false">
      <c r="A36" s="25" t="s">
        <v>427</v>
      </c>
      <c r="B36" s="49"/>
      <c r="C36" s="50" t="n">
        <v>0.0516314049586777</v>
      </c>
      <c r="D36" s="13" t="s">
        <v>428</v>
      </c>
    </row>
    <row r="37" customFormat="false" ht="18" hidden="false" customHeight="true" outlineLevel="0" collapsed="false">
      <c r="A37" s="25" t="s">
        <v>264</v>
      </c>
      <c r="B37" s="49"/>
      <c r="C37" s="51" t="n">
        <v>2516.23145454545</v>
      </c>
      <c r="D37" s="13" t="s">
        <v>429</v>
      </c>
    </row>
    <row r="38" customFormat="false" ht="18" hidden="false" customHeight="true" outlineLevel="0" collapsed="false">
      <c r="A38" s="5" t="s">
        <v>430</v>
      </c>
      <c r="B38" s="49"/>
      <c r="C38" s="53" t="n">
        <v>3145.28931818182</v>
      </c>
      <c r="D38" s="13" t="s">
        <v>431</v>
      </c>
    </row>
    <row r="39" customFormat="false" ht="18" hidden="false" customHeight="true" outlineLevel="0" collapsed="false">
      <c r="A39" s="5" t="s">
        <v>432</v>
      </c>
      <c r="B39" s="49"/>
      <c r="C39" s="53" t="n">
        <v>3774.34718181818</v>
      </c>
      <c r="D39" s="13"/>
    </row>
    <row r="41" customFormat="false" ht="15" hidden="false" customHeight="true" outlineLevel="0" collapsed="false">
      <c r="A41" s="13" t="s">
        <v>433</v>
      </c>
      <c r="B41" s="13"/>
      <c r="C41" s="13"/>
      <c r="D41" s="13"/>
    </row>
  </sheetData>
  <sheetProtection sheet="true" formatColumns="false" formatRows="false"/>
  <mergeCells count="5">
    <mergeCell ref="A2:D2"/>
    <mergeCell ref="A4:D4"/>
    <mergeCell ref="A12:D12"/>
    <mergeCell ref="A29:D29"/>
    <mergeCell ref="A41:D41"/>
  </mergeCells>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6"/>
    <col collapsed="false" customWidth="true" hidden="false" outlineLevel="0" max="3" min="3" style="0" width="52"/>
    <col collapsed="false" customWidth="true" hidden="false" outlineLevel="0" max="4" min="4" style="0" width="56"/>
  </cols>
  <sheetData>
    <row r="1" customFormat="false" ht="25.5" hidden="false" customHeight="true" outlineLevel="0" collapsed="false">
      <c r="A1" s="8" t="s">
        <v>434</v>
      </c>
    </row>
    <row r="2" customFormat="false" ht="27.75" hidden="false" customHeight="true" outlineLevel="0" collapsed="false">
      <c r="A2" s="9" t="s">
        <v>435</v>
      </c>
      <c r="B2" s="9"/>
      <c r="C2" s="9"/>
      <c r="D2" s="9"/>
    </row>
    <row r="3" customFormat="false" ht="21.75" hidden="false" customHeight="true" outlineLevel="0" collapsed="false">
      <c r="A3" s="10" t="s">
        <v>436</v>
      </c>
      <c r="B3" s="10" t="s">
        <v>437</v>
      </c>
      <c r="C3" s="10" t="s">
        <v>438</v>
      </c>
      <c r="D3" s="10" t="s">
        <v>52</v>
      </c>
    </row>
    <row r="4" customFormat="false" ht="78" hidden="false" customHeight="true" outlineLevel="0" collapsed="false">
      <c r="A4" s="54" t="s">
        <v>439</v>
      </c>
      <c r="B4" s="54" t="s">
        <v>440</v>
      </c>
      <c r="C4" s="55" t="s">
        <v>441</v>
      </c>
      <c r="D4" s="55" t="s">
        <v>442</v>
      </c>
    </row>
    <row r="5" customFormat="false" ht="78" hidden="false" customHeight="true" outlineLevel="0" collapsed="false">
      <c r="A5" s="54" t="s">
        <v>443</v>
      </c>
      <c r="B5" s="54" t="s">
        <v>444</v>
      </c>
      <c r="C5" s="55" t="s">
        <v>445</v>
      </c>
      <c r="D5" s="55" t="s">
        <v>446</v>
      </c>
    </row>
    <row r="6" customFormat="false" ht="90.75" hidden="false" customHeight="true" outlineLevel="0" collapsed="false">
      <c r="A6" s="54" t="s">
        <v>447</v>
      </c>
      <c r="B6" s="54" t="s">
        <v>448</v>
      </c>
      <c r="C6" s="55" t="s">
        <v>449</v>
      </c>
      <c r="D6" s="55" t="s">
        <v>450</v>
      </c>
    </row>
    <row r="7" customFormat="false" ht="51.75" hidden="false" customHeight="true" outlineLevel="0" collapsed="false">
      <c r="A7" s="54" t="s">
        <v>451</v>
      </c>
      <c r="B7" s="54" t="s">
        <v>452</v>
      </c>
      <c r="C7" s="55" t="s">
        <v>453</v>
      </c>
      <c r="D7" s="55" t="s">
        <v>454</v>
      </c>
    </row>
    <row r="8" customFormat="false" ht="31.5" hidden="false" customHeight="true" outlineLevel="0" collapsed="false">
      <c r="A8" s="54" t="s">
        <v>455</v>
      </c>
      <c r="B8" s="54" t="s">
        <v>456</v>
      </c>
      <c r="C8" s="55" t="s">
        <v>457</v>
      </c>
      <c r="D8" s="55" t="s">
        <v>458</v>
      </c>
    </row>
    <row r="9" customFormat="false" ht="39" hidden="false" customHeight="true" outlineLevel="0" collapsed="false">
      <c r="A9" s="54" t="s">
        <v>459</v>
      </c>
      <c r="B9" s="54" t="s">
        <v>460</v>
      </c>
      <c r="C9" s="55" t="s">
        <v>461</v>
      </c>
      <c r="D9" s="55" t="s">
        <v>462</v>
      </c>
    </row>
    <row r="10" customFormat="false" ht="39" hidden="false" customHeight="true" outlineLevel="0" collapsed="false">
      <c r="A10" s="54" t="s">
        <v>463</v>
      </c>
      <c r="B10" s="54" t="s">
        <v>464</v>
      </c>
      <c r="C10" s="55" t="s">
        <v>465</v>
      </c>
      <c r="D10" s="55" t="s">
        <v>466</v>
      </c>
    </row>
    <row r="11" customFormat="false" ht="90.75" hidden="false" customHeight="true" outlineLevel="0" collapsed="false">
      <c r="A11" s="54" t="s">
        <v>467</v>
      </c>
      <c r="B11" s="54" t="s">
        <v>468</v>
      </c>
      <c r="C11" s="55" t="s">
        <v>469</v>
      </c>
      <c r="D11" s="55" t="s">
        <v>470</v>
      </c>
    </row>
  </sheetData>
  <sheetProtection sheet="true" formatColumns="false" formatRows="false"/>
  <mergeCells count="1">
    <mergeCell ref="A2:D2"/>
  </mergeCell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&amp;L&amp;"Aptos,Regular"&amp;8[COMPANY NAME] – Pricing and Charge-Out Rate Calculator – ARB-FIN-01 – Version 2.0&amp;R&amp;"Aptos,Regular"&amp;8Page &amp;P of &amp;N  ·  Not controlled when printed</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2026-09-27T14:19:48Z</dcterms:created>
  <dc:creator>Arborella Consultancy Ltd</dc:creator>
  <dc:description/>
  <dc:language>en-US</dc:language>
  <cp:lastModifiedBy/>
  <dcterms:modified xsi:type="dcterms:W3CDTF">2026-09-27T14:19:48Z</dcterms:modified>
  <cp:revision>0</cp:revision>
  <dc:subject/>
  <dc:title>Pricing and Charge-Out Rate Calculator – ARB-FIN-01 v2.0</dc:title>
</cp:coreProperties>
</file>

<file path=docProps/custom.xml><?xml version="1.0" encoding="utf-8"?>
<Properties xmlns="http://schemas.openxmlformats.org/officeDocument/2006/custom-properties" xmlns:vt="http://schemas.openxmlformats.org/officeDocument/2006/docPropsVTypes"/>
</file>