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Log" sheetId="2" state="visible" r:id="rId4"/>
    <sheet name="Summary" sheetId="3" state="visible" r:id="rId5"/>
    <sheet name="Actions" sheetId="4" state="visible" r:id="rId6"/>
    <sheet name="Lists" sheetId="5" state="visible" r:id="rId7"/>
  </sheets>
  <definedNames>
    <definedName function="false" hidden="false" localSheetId="3" name="_xlnm.Print_Area" vbProcedure="false">Actions!$A$1:$L$155</definedName>
    <definedName function="false" hidden="false" localSheetId="3" name="_xlnm.Print_Titles" vbProcedure="false">Actions!$5:$5</definedName>
    <definedName function="false" hidden="false" localSheetId="1" name="_xlnm.Print_Area" vbProcedure="false">Log!$A$1:$AL$305</definedName>
    <definedName function="false" hidden="false" localSheetId="1" name="_xlnm.Print_Titles" vbProcedure="false">Log!$3:$4</definedName>
    <definedName function="false" hidden="true" localSheetId="1" name="_xlnm._FilterDatabase" vbProcedure="false">Log!$A$4:$AL$305</definedName>
    <definedName function="false" hidden="false" localSheetId="2" name="_xlnm.Print_Area" vbProcedure="false">Summary!$A$1:$Q$57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<sst xmlns="http://schemas.openxmlformats.org/spreadsheetml/2006/main" count="419" uniqueCount="374">
  <si>
    <t xml:space="preserve">[Insert Company Logo Here]</t>
  </si>
  <si>
    <t xml:space="preserve">INCIDENT, ACCIDENT AND NEAR MISS REGISTER</t>
  </si>
  <si>
    <t xml:space="preserve">ARB-INC-01  ·  Version 2.0  ·  Issued [DD/MM/YYYY]  ·  Review [DD/MM/YYYY]  ·  Read with the Health and Safety Policy ARB-POL-01 section 12.4</t>
  </si>
  <si>
    <t xml:space="preserve">SETTINGS – FILL THESE IN FIRST</t>
  </si>
  <si>
    <t xml:space="preserve">Company name</t>
  </si>
  <si>
    <t xml:space="preserve">[COMPANY NAME]</t>
  </si>
  <si>
    <t xml:space="preserve">RIDDOR warning (days before the deadline)</t>
  </si>
  <si>
    <t xml:space="preserve">Action "due soon" warning (days)</t>
  </si>
  <si>
    <t xml:space="preserve">Cells with blue or red text are yours to change. The RIDDOR warning turns the "Report by" date red this many days before the HSE deadline.</t>
  </si>
  <si>
    <t xml:space="preserve">AT A GLANCE</t>
  </si>
  <si>
    <t xml:space="preserve">What it is for</t>
  </si>
  <si>
    <t xml:space="preserve">One log of every injury, near miss, damage, non-conformance, environmental, vehicle and ill-health event. It tracks RIDDOR deadlines and corrective actions, and it gives you the yearly figures for audits, tenders and the management review.</t>
  </si>
  <si>
    <t xml:space="preserve">Who fills it in</t>
  </si>
  <si>
    <t xml:space="preserve">A Manager. Team Leaders and crews report the same day on the Incident and Near Miss Report (ARB-INC-02). The Manager then logs it here.</t>
  </si>
  <si>
    <t xml:space="preserve">When</t>
  </si>
  <si>
    <t xml:space="preserve">The same day the report comes in, or the next working day at the latest. Update the row as the investigation and actions move on.</t>
  </si>
  <si>
    <t xml:space="preserve">Time needed</t>
  </si>
  <si>
    <t xml:space="preserve">About 10 minutes to log an event. About 20 minutes a month to review open actions and trends.</t>
  </si>
  <si>
    <t xml:space="preserve">You will need</t>
  </si>
  <si>
    <t xml:space="preserve">The completed ARB-INC-02 report, the accident book entry (for injuries), photos, and the investigation form (ARB-INC-03) if one was done.</t>
  </si>
  <si>
    <t xml:space="preserve">Where it goes (storage and retention)</t>
  </si>
  <si>
    <t xml:space="preserve">A secure, password-protected H&amp;S folder that only Managers and Directors can open. Keep each row for at least 3 years (RIDDOR and the accident book). We suggest [6 years – owner to decide]. See Data protection below.</t>
  </si>
  <si>
    <t xml:space="preserve">WHERE THIS FITS – THE INCIDENT CHAIN</t>
  </si>
  <si>
    <t xml:space="preserve">1  Something happens</t>
  </si>
  <si>
    <t xml:space="preserve">Make the scene safe, give first aid, call 999 if needed. Follow the Immediate Accident Response Process (ARB-PRO-03) and Emergency Procedures (ARB-PRO-02).</t>
  </si>
  <si>
    <t xml:space="preserve">2  Report it the same day</t>
  </si>
  <si>
    <t xml:space="preserve">The Team Leader or person involved completes the Incident and Near Miss Report (ARB-INC-02). Injuries also go in the accident book.</t>
  </si>
  <si>
    <t xml:space="preserve">3  The Manager logs it HERE</t>
  </si>
  <si>
    <t xml:space="preserve">Enter it on the Log tab of this register (ARB-INC-01). Near misses go here too. They are free lessons.</t>
  </si>
  <si>
    <t xml:space="preserve">4  Decide on RIDDOR</t>
  </si>
  <si>
    <t xml:space="preserve">Use the RIDDOR Reporting Procedure (ARB-PRO-04). Pick the RIDDOR category on the Log. The register works out the deadline.</t>
  </si>
  <si>
    <t xml:space="preserve">5  Investigate</t>
  </si>
  <si>
    <t xml:space="preserve">Use the Accident and Incident Investigation Form (ARB-INC-03). For serious incidents, follow the Serious Accident Investigation Procedure (ARB-PRO-05).</t>
  </si>
  <si>
    <t xml:space="preserve">6  Record corrective actions</t>
  </si>
  <si>
    <t xml:space="preserve">Record them on the Log (they appear on the Actions tab) and in the non-conformance log in the Quality Policy (ARB-POL-24, Appendix B). Put the NC number on the Log.</t>
  </si>
  <si>
    <t xml:space="preserve">7  Review trends</t>
  </si>
  <si>
    <t xml:space="preserve">Use the Summary tab at the management review, with the Office and Management Audit (ARB-AUD-01) and ARB-POL-01 section 13.</t>
  </si>
  <si>
    <t xml:space="preserve">HOW TO LOG AN EVENT – 6 STEPS</t>
  </si>
  <si>
    <t xml:space="preserve">1  Start a new row</t>
  </si>
  <si>
    <t xml:space="preserve">On the Log tab, go to the first empty row. Pick the Type and type the date of the incident. The reference (for example INC-2026-004) fills in by itself.</t>
  </si>
  <si>
    <t xml:space="preserve">2  Say what happened</t>
  </si>
  <si>
    <t xml:space="preserve">Fill in the time, site, job reference, client and a short factual description. Stick to facts: who, what, where, when. For example: "Branch fell 6 m from rigging point and struck the groundsperson’s left shoulder. Helmet worn."</t>
  </si>
  <si>
    <t xml:space="preserve">3  Person and injury</t>
  </si>
  <si>
    <t xml:space="preserve">For injuries and ill health: who was hurt, person type, body part, injury type, treatment, days off and the accident book entry. For other events, pick "Not applicable".</t>
  </si>
  <si>
    <t xml:space="preserve">4  RIDDOR</t>
  </si>
  <si>
    <t xml:space="preserve">Pick the RIDDOR category. The register shows the "Report by" date and turns it red when it is close or overdue. When you report, type the date and the HSE notification number.</t>
  </si>
  <si>
    <t xml:space="preserve">5  Investigate and act</t>
  </si>
  <si>
    <t xml:space="preserve">Pick the investigation level, the root cause category, and write what you did straight away and what you will do next. Give each action an owner and a due date.</t>
  </si>
  <si>
    <t xml:space="preserve">6  Close it</t>
  </si>
  <si>
    <t xml:space="preserve">When the action is done and checked, set Status to Closed and type the date closed. Do not delete rows. If a row was logged by mistake, set Status to "Void – logged in error".</t>
  </si>
  <si>
    <t xml:space="preserve">Filter, do not sort</t>
  </si>
  <si>
    <t xml:space="preserve">Use the filter arrows on the Log to find things (for example, Type = Near miss). Do not sort or delete rows. The reference numbers are worked out from the row order, so sorting or deleting would change them.</t>
  </si>
  <si>
    <t xml:space="preserve">WHO DOES WHAT</t>
  </si>
  <si>
    <t xml:space="preserve">Crew and Team Leader</t>
  </si>
  <si>
    <t xml:space="preserve">Report every injury, near miss and damage the same day (ARB-INC-02). Preserve the scene if it is serious. Help with the investigation.</t>
  </si>
  <si>
    <t xml:space="preserve">Manager</t>
  </si>
  <si>
    <t xml:space="preserve">Logs the event here, makes the RIDDOR decision, reports to HSE in time, leads the investigation, sets actions and tracks them to closure. Tells the insurer and the client where needed.</t>
  </si>
  <si>
    <t xml:space="preserve">Directors</t>
  </si>
  <si>
    <t xml:space="preserve">Lead high-level investigations. Review the Summary and open actions at least every quarter and at the management review. Make sure actions get the time and money they need.</t>
  </si>
  <si>
    <t xml:space="preserve">RIDDOR – QUICK GUIDE (checked 28/09/2026 on hse.gov.uk)</t>
  </si>
  <si>
    <t xml:space="preserve">Death or specified injury to a worker</t>
  </si>
  <si>
    <t xml:space="preserve">Report without delay. The report must be received within 10 days. Phone 0345 300 9923 (fatal and specified injuries only) or report online. Report by = incident date + 10.</t>
  </si>
  <si>
    <t xml:space="preserve">Over-7-day injury</t>
  </si>
  <si>
    <t xml:space="preserve">Worker away from work, or unable to do their normal work, for more than 7 days in a row. Do not count the day of the accident. Do count weekends and rest days. Report online within 15 days of the accident. Report by = incident date + 15.</t>
  </si>
  <si>
    <t xml:space="preserve">Over-3-day injury</t>
  </si>
  <si>
    <t xml:space="preserve">Record only. No HSE report. The accident book entry is enough.</t>
  </si>
  <si>
    <t xml:space="preserve">Member of the public</t>
  </si>
  <si>
    <t xml:space="preserve">Reportable if they are injured by our work and taken straight from the scene to hospital for treatment. Report within 10 days.</t>
  </si>
  <si>
    <t xml:space="preserve">Dangerous occurrence</t>
  </si>
  <si>
    <t xml:space="preserve">Reportable even if nobody is hurt, for example contact with an overhead power line, or the collapse or overturn of a MEWP or other lifting equipment. Report within 10 days.</t>
  </si>
  <si>
    <t xml:space="preserve">Occupational disease</t>
  </si>
  <si>
    <t xml:space="preserve">Report as soon as you receive a written diagnosis that links it to the work, for example hand-arm vibration syndrome (HAVS), carpal tunnel syndrome, or occupational dermatitis. See ARB-POL-23.</t>
  </si>
  <si>
    <t xml:space="preserve">Records</t>
  </si>
  <si>
    <t xml:space="preserve">Keep a record of every reportable event and every over-3-day injury for at least 3 years (RIDDOR 2013 regulation 12). Keep accident book entries for at least 3 years (Social Security (Claims and Payments) Regulations 1979, regulation 25).</t>
  </si>
  <si>
    <t xml:space="preserve">Insurance</t>
  </si>
  <si>
    <t xml:space="preserve">HSE does not pass RIDDOR reports to your insurer. Tell your insurer yourself, following your policy terms. Use the Insurer notified column.</t>
  </si>
  <si>
    <t xml:space="preserve">Out of hours</t>
  </si>
  <si>
    <t xml:space="preserve">Online reporting is open at all times. HSE is not an emergency service. For a work-related death or a serious incident with several casualties out of hours, follow the HSE out-of-hours arrangements on hse.gov.uk.</t>
  </si>
  <si>
    <t xml:space="preserve">RIDDOR review</t>
  </si>
  <si>
    <t xml:space="preserve">HSE consulted on changes to RIDDOR in 2026. On 28/09/2026 HSE had not published its response. Until new regulations are made, RIDDOR 2013 applies as shown here. Check hse.gov.uk/riddor at each review.</t>
  </si>
  <si>
    <t xml:space="preserve">INVESTIGATION LEVELS (HSE HSG245 "Investigating accidents and incidents")</t>
  </si>
  <si>
    <t xml:space="preserve">How to choose</t>
  </si>
  <si>
    <t xml:space="preserve">Base it on the worst that could realistically have happened and how likely it is to happen again, not only on what did happen. A near miss with a falling limb over a road could need a High level investigation.</t>
  </si>
  <si>
    <t xml:space="preserve">Minimal</t>
  </si>
  <si>
    <t xml:space="preserve">The Team Leader looks into what happened and picks out any lessons to stop it happening again.</t>
  </si>
  <si>
    <t xml:space="preserve">Low</t>
  </si>
  <si>
    <t xml:space="preserve">A short investigation by the Team Leader or Manager into the immediate, underlying and root causes.</t>
  </si>
  <si>
    <t xml:space="preserve">Medium</t>
  </si>
  <si>
    <t xml:space="preserve">A more detailed investigation by the Manager, with the health and safety adviser and employee representatives. Use ARB-INC-03.</t>
  </si>
  <si>
    <t xml:space="preserve">High</t>
  </si>
  <si>
    <t xml:space="preserve">A team investigation, run under the supervision of a Director, with the health and safety adviser and employee representatives. Follow ARB-PRO-05. After a serious incident, the owner should take legal advice.</t>
  </si>
  <si>
    <t xml:space="preserve">WHAT THE COLOURS MEAN</t>
  </si>
  <si>
    <t xml:space="preserve">White cells</t>
  </si>
  <si>
    <t xml:space="preserve">You type or pick here.</t>
  </si>
  <si>
    <t xml:space="preserve">Purple-shaded cells</t>
  </si>
  <si>
    <t xml:space="preserve">These calculate by themselves. Do not type in them.</t>
  </si>
  <si>
    <t xml:space="preserve">Red</t>
  </si>
  <si>
    <t xml:space="preserve">Needs action now: a RIDDOR deadline close or passed, or a corrective action overdue.</t>
  </si>
  <si>
    <t xml:space="preserve">Amber</t>
  </si>
  <si>
    <t xml:space="preserve">Needs a decision or is due soon: RIDDOR not yet decided, or an action due within the warning period.</t>
  </si>
  <si>
    <t xml:space="preserve">Green</t>
  </si>
  <si>
    <t xml:space="preserve">RIDDOR reported, or the row is closed.</t>
  </si>
  <si>
    <t xml:space="preserve">Grey text</t>
  </si>
  <si>
    <t xml:space="preserve">Void rows (logged in error). They are left out of the Summary counts.</t>
  </si>
  <si>
    <t xml:space="preserve">DATA PROTECTION – THIS REGISTER HOLDS HEALTH DATA</t>
  </si>
  <si>
    <t xml:space="preserve">Why it matters</t>
  </si>
  <si>
    <t xml:space="preserve">Injury and ill-health details are health data. That is special category data under UK GDPR Article 9. We use it only to manage health and safety at work, meet RIDDOR and accident book duties, and deal with insurance claims, under the DPA 2018 Schedule 1 employment and health conditions. Follow the Data Protection Policy ARB-POL-04.</t>
  </si>
  <si>
    <t xml:space="preserve">Restrict access</t>
  </si>
  <si>
    <t xml:space="preserve">Only Managers and Directors open this file. Password-protect it and keep it in a restricted folder. Do not email it or leave printouts in vans or the yard.</t>
  </si>
  <si>
    <t xml:space="preserve">Share without names</t>
  </si>
  <si>
    <t xml:space="preserve">For toolbox talks, client reports, tenders and the management review, share the Summary tab or an anonymised copy (hide or delete the person and injury columns). Clients rarely need names.</t>
  </si>
  <si>
    <t xml:space="preserve">Keep only what you need</t>
  </si>
  <si>
    <t xml:space="preserve">Record the injury, not the person’s wider medical history. Keep doctors’ notes and fit notes in the confidential health file, not here.</t>
  </si>
  <si>
    <t xml:space="preserve">Retention</t>
  </si>
  <si>
    <t xml:space="preserve">Keep each row for at least 3 years from the date of entry. We suggest [6 years – owner to decide], because personal injury claims can be brought up to 3 years from the injury or from when the person knew of it (Limitation Act 1980 s11), and later for children. After that, delete the row or remove the names.</t>
  </si>
  <si>
    <t xml:space="preserve">WHAT THIS MEANS FOR YOU</t>
  </si>
  <si>
    <t xml:space="preserve">Example 1 – near miss</t>
  </si>
  <si>
    <t xml:space="preserve">A rigged section swings and misses the groundsperson by a metre. Nobody is hurt. Log it as a Near miss, RIDDOR category "Not reportable", investigation level Medium (it could have been fatal). Root cause: Planning or risk assessment (drop zone too small). Action: brief the crew on drop zones, owner Team Leader, due in 7 days.</t>
  </si>
  <si>
    <t xml:space="preserve">Example 2 – over-7-day injury</t>
  </si>
  <si>
    <t xml:space="preserve">A climber strains his back lifting rings on 02/03/2026 and is off until 12/03/2026. That is more than 7 days, not counting 02/03. Pick "Over-7-day injury". The Report by date shows 17/03/2026 and turns red from 12/03. When you report online, type the date and HSE notification number.</t>
  </si>
  <si>
    <t xml:space="preserve">Example 3 – property damage</t>
  </si>
  <si>
    <t xml:space="preserve">The chipper crew clips a client’s gatepost. Log it as Property damage, "Not reportable", with the repair cost. Set Insurer notified to "Yes" if you claim. Add an NC number from the ARB-POL-24 log if the root cause is a site set-up problem.</t>
  </si>
  <si>
    <t xml:space="preserve">SUPPORT AND DOCUMENT CONTROL</t>
  </si>
  <si>
    <t xml:space="preserve">Reasonable adjustments</t>
  </si>
  <si>
    <t xml:space="preserve">If you would like this in a different format, or someone to go through it with you, just ask.</t>
  </si>
  <si>
    <t xml:space="preserve">About this template</t>
  </si>
  <si>
    <t xml:space="preserve">Arborella Consultancy Ltd provides this template as documentation support. It is not legal or technical health and safety advice. Your competent person and, after a serious incident, your solicitor should advise on specific cases. RIDDOR facts checked 28/09/2026 on hse.gov.uk and legislation.gov.uk.</t>
  </si>
  <si>
    <t xml:space="preserve">Related documents</t>
  </si>
  <si>
    <t xml:space="preserve">ARB-PRO-02 Emergency Procedures · ARB-PRO-03 Immediate Accident Response Process · ARB-INC-02 Incident and Near Miss Report · ARB-PRO-04 RIDDOR Reporting Procedure · ARB-INC-03 Accident and Incident Investigation Form · ARB-PRO-05 Serious Accident Investigation Procedure · ARB-POL-01 Health and Safety Policy · ARB-POL-04 Data Protection Policy · ARB-POL-23 Occupational Health Policy · ARB-POL-24 Quality Policy · ARB-AUD-01 Office and Management Audit</t>
  </si>
  <si>
    <t xml:space="preserve">Version 1.0 – 01/07/2026</t>
  </si>
  <si>
    <t xml:space="preserve">Arborella Consultancy Ltd – Initial release.</t>
  </si>
  <si>
    <t xml:space="preserve">Version 2.0 – 28/09/2026</t>
  </si>
  <si>
    <t xml:space="preserve">Arborella Consultancy Ltd – Four separate tabs replaced by one filterable Log with eight event types, including near miss (missing before). Added auto references, RIDDOR categories and deadline warnings, HSG245 investigation levels, root cause categories, action tracking, an Actions tab, a formula-driven Summary with rates and charts, and data protection guidance. Typo "ofr" corrected.</t>
  </si>
  <si>
    <t xml:space="preserve">[Next version – date]</t>
  </si>
  <si>
    <t xml:space="preserve">[Who – what changed]</t>
  </si>
  <si>
    <t xml:space="preserve">ARB-INC-01 v2.0  ·  One row per event  ·  White = type or pick  ·  Purple = calculates  ·  Use the filter arrows – do not sort or delete rows  ·  CONFIDENTIAL – contains health data (ARB-POL-04)</t>
  </si>
  <si>
    <t xml:space="preserve">THE EVENT</t>
  </si>
  <si>
    <t xml:space="preserve">PERSON AND INJURY (health data)</t>
  </si>
  <si>
    <t xml:space="preserve">RIDDOR</t>
  </si>
  <si>
    <t xml:space="preserve">INVESTIGATION AND CORRECTIVE ACTION</t>
  </si>
  <si>
    <t xml:space="preserve">CLOSE</t>
  </si>
  <si>
    <t xml:space="preserve">Reference</t>
  </si>
  <si>
    <t xml:space="preserve">Type</t>
  </si>
  <si>
    <t xml:space="preserve">Date of incident</t>
  </si>
  <si>
    <t xml:space="preserve">Time</t>
  </si>
  <si>
    <t xml:space="preserve">Date opened</t>
  </si>
  <si>
    <t xml:space="preserve">Reported by</t>
  </si>
  <si>
    <t xml:space="preserve">Site / address</t>
  </si>
  <si>
    <t xml:space="preserve">Job ref</t>
  </si>
  <si>
    <t xml:space="preserve">Client name</t>
  </si>
  <si>
    <t xml:space="preserve">Kind of incident</t>
  </si>
  <si>
    <t xml:space="preserve">Incident details</t>
  </si>
  <si>
    <t xml:space="preserve">Injured person (if applicable)</t>
  </si>
  <si>
    <t xml:space="preserve">Person type</t>
  </si>
  <si>
    <t xml:space="preserve">Body part</t>
  </si>
  <si>
    <t xml:space="preserve">Injury type</t>
  </si>
  <si>
    <t xml:space="preserve">Treatment</t>
  </si>
  <si>
    <t xml:space="preserve">Days off / light duties</t>
  </si>
  <si>
    <t xml:space="preserve">Accident book entry?</t>
  </si>
  <si>
    <t xml:space="preserve">RIDDOR category</t>
  </si>
  <si>
    <t xml:space="preserve">RIDDOR reportable?</t>
  </si>
  <si>
    <t xml:space="preserve">RIDDOR report by</t>
  </si>
  <si>
    <t xml:space="preserve">RIDDOR check</t>
  </si>
  <si>
    <t xml:space="preserve">Date reported to HSE</t>
  </si>
  <si>
    <t xml:space="preserve">HSE notification ref (F2508 / F2508A)</t>
  </si>
  <si>
    <t xml:space="preserve">Investigation level</t>
  </si>
  <si>
    <t xml:space="preserve">What did you do to correct this?</t>
  </si>
  <si>
    <t xml:space="preserve">Cost of correcting this? (£)</t>
  </si>
  <si>
    <t xml:space="preserve">Root cause category</t>
  </si>
  <si>
    <t xml:space="preserve">Root cause</t>
  </si>
  <si>
    <t xml:space="preserve">What are you planning to do?</t>
  </si>
  <si>
    <t xml:space="preserve">Any further actions for the future to prevent this happening again?</t>
  </si>
  <si>
    <t xml:space="preserve">Action owner</t>
  </si>
  <si>
    <t xml:space="preserve">Action due date</t>
  </si>
  <si>
    <t xml:space="preserve">Status</t>
  </si>
  <si>
    <t xml:space="preserve">Action check</t>
  </si>
  <si>
    <t xml:space="preserve">NC log ref (ARB-POL-24)</t>
  </si>
  <si>
    <t xml:space="preserve">Claims / insurer notified?</t>
  </si>
  <si>
    <t xml:space="preserve">Date closed</t>
  </si>
  <si>
    <t xml:space="preserve">Helper</t>
  </si>
  <si>
    <t xml:space="preserve">Fills in by itself from the incident date, e.g. INC-2026-001.</t>
  </si>
  <si>
    <t xml:space="preserve">Pick from the list. One row per event.</t>
  </si>
  <si>
    <t xml:space="preserve">DD/MM/YYYY. The date it happened.</t>
  </si>
  <si>
    <t xml:space="preserve">HH:MM, 24-hour.</t>
  </si>
  <si>
    <t xml:space="preserve">The date you logged it here.</t>
  </si>
  <si>
    <t xml:space="preserve">Name and role.</t>
  </si>
  <si>
    <t xml:space="preserve">Address or what3words.</t>
  </si>
  <si>
    <t xml:space="preserve">Your job or quote number.</t>
  </si>
  <si>
    <t xml:space="preserve">Who the work was for.</t>
  </si>
  <si>
    <t xml:space="preserve">Pick the closest.</t>
  </si>
  <si>
    <t xml:space="preserve">Facts only: who, what, where, when. What was being done at the time?</t>
  </si>
  <si>
    <t xml:space="preserve">Name. Health data – keep this file restricted.</t>
  </si>
  <si>
    <t xml:space="preserve">Pick from the list.</t>
  </si>
  <si>
    <t xml:space="preserve">Main part injured.</t>
  </si>
  <si>
    <t xml:space="preserve">Hospital from the scene matters for members of the public.</t>
  </si>
  <si>
    <t xml:space="preserve">Consecutive days, NOT counting the day of the incident. Count weekends and rest days.</t>
  </si>
  <si>
    <t xml:space="preserve">Every injury goes in the accident book.</t>
  </si>
  <si>
    <t xml:space="preserve">Decide using ARB-PRO-04. Pick "Not reportable" if it is not.</t>
  </si>
  <si>
    <t xml:space="preserve">Worked out from the category.</t>
  </si>
  <si>
    <t xml:space="preserve">Over-7-day: incident date + 15 days. Death, specified injury, public to hospital, dangerous occurrence: + 10 days.</t>
  </si>
  <si>
    <t xml:space="preserve">Red = report now or deadline close. Amber = decide.</t>
  </si>
  <si>
    <t xml:space="preserve">DD/MM/YYYY. Turns the check green.</t>
  </si>
  <si>
    <t xml:space="preserve">The reference HSE gives you when you submit. Keep the PDF copy.</t>
  </si>
  <si>
    <t xml:space="preserve">HSG245: Minimal, Low, Medium or High. See Start here.</t>
  </si>
  <si>
    <t xml:space="preserve">The immediate action, e.g. stopped work, re-briefed, quarantined the kit.</t>
  </si>
  <si>
    <t xml:space="preserve">Repair, replacement, hire, lost time. Estimate if needed.</t>
  </si>
  <si>
    <t xml:space="preserve">The main underlying cause. Use 5 Whys (ARB-INC-03).</t>
  </si>
  <si>
    <t xml:space="preserve">In a sentence: why did it really happen?</t>
  </si>
  <si>
    <t xml:space="preserve">The corrective action that fixes the cause.</t>
  </si>
  <si>
    <t xml:space="preserve">E.g. change the risk assessment, training, kit or toolbox talk.</t>
  </si>
  <si>
    <t xml:space="preserve">One named person.</t>
  </si>
  <si>
    <t xml:space="preserve">DD/MM/YYYY.</t>
  </si>
  <si>
    <t xml:space="preserve">Pick from the list. Never delete a row.</t>
  </si>
  <si>
    <t xml:space="preserve">Overdue or due soon.</t>
  </si>
  <si>
    <t xml:space="preserve">The number in the non-conformance log, if raised.</t>
  </si>
  <si>
    <t xml:space="preserve">HSE does not tell your insurer. You must.</t>
  </si>
  <si>
    <t xml:space="preserve">When the action is done and checked.</t>
  </si>
  <si>
    <t xml:space="preserve">Feeds the Actions tab.</t>
  </si>
  <si>
    <t xml:space="preserve">ARB-INC-01 v2.0  ·  Everything here is counted from the Log. Only the blue cells are typed. Void rows are left out. No names are shown, so this tab can be shared.</t>
  </si>
  <si>
    <t xml:space="preserve">Latest year</t>
  </si>
  <si>
    <t xml:space="preserve">Type the current year. The table shows it and the 4 years before.</t>
  </si>
  <si>
    <t xml:space="preserve">NUMBER OF EVENTS BY TYPE</t>
  </si>
  <si>
    <t xml:space="preserve">TOTALS</t>
  </si>
  <si>
    <t xml:space="preserve">RATES</t>
  </si>
  <si>
    <t xml:space="preserve">Year</t>
  </si>
  <si>
    <t xml:space="preserve">Injury</t>
  </si>
  <si>
    <t xml:space="preserve">Near miss</t>
  </si>
  <si>
    <t xml:space="preserve">Property damage</t>
  </si>
  <si>
    <t xml:space="preserve">Non-conformance</t>
  </si>
  <si>
    <t xml:space="preserve">Environmental</t>
  </si>
  <si>
    <t xml:space="preserve">Vehicle</t>
  </si>
  <si>
    <t xml:space="preserve">Occupational ill health</t>
  </si>
  <si>
    <t xml:space="preserve">Total</t>
  </si>
  <si>
    <t xml:space="preserve">RIDDOR reportable</t>
  </si>
  <si>
    <t xml:space="preserve">Lost-time injuries (1+ day off)</t>
  </si>
  <si>
    <t xml:space="preserve">Days lost</t>
  </si>
  <si>
    <t xml:space="preserve">Hours worked</t>
  </si>
  <si>
    <t xml:space="preserve">All events per 100,000 hours</t>
  </si>
  <si>
    <t xml:space="preserve">Injuries per 100,000 hours</t>
  </si>
  <si>
    <t xml:space="preserve">RIDDOR per 100,000 hours</t>
  </si>
  <si>
    <t xml:space="preserve">5-year total</t>
  </si>
  <si>
    <t xml:space="preserve">Open actions now</t>
  </si>
  <si>
    <t xml:space="preserve">Actions overdue</t>
  </si>
  <si>
    <t xml:space="preserve">RIDDOR checks needing action</t>
  </si>
  <si>
    <t xml:space="preserve">HOURS WORKED – type them in for the rates</t>
  </si>
  <si>
    <t xml:space="preserve">Where the figure came from</t>
  </si>
  <si>
    <t xml:space="preserve">How the rates work: number of events ÷ hours worked × 100,000. This is a common way to compare years of different sizes. It is not a legal figure, and HSE publishes national rates per 100,000 workers, not per hour, so do not compare them directly.</t>
  </si>
  <si>
    <t xml:space="preserve">[For example: payroll hours plus subcontractor timesheets]</t>
  </si>
  <si>
    <t xml:space="preserve">Include hours worked by employees and by subcontractors working under your control, and say which on the line above. Leave hours blank and the rates stay blank.</t>
  </si>
  <si>
    <t xml:space="preserve">Lost-time injuries = Injury rows with 1 or more days off. Days lost = the total of the "Days off / light duties" column.</t>
  </si>
  <si>
    <t xml:space="preserve">Near misses going UP is often a good sign: it means people are reporting. Look at the kind of incident and root cause on the Log for patterns.</t>
  </si>
  <si>
    <t xml:space="preserve">CHARTS – EACH TYPE BY YEAR</t>
  </si>
  <si>
    <t xml:space="preserve">ARB-INC-01 v2.0  ·  This list fills itself from the Log. It shows every row with an action or status that is not Closed or Void. Update the Log, not this tab. Review it at least monthly and at every management review.</t>
  </si>
  <si>
    <t xml:space="preserve">#</t>
  </si>
  <si>
    <t xml:space="preserve">What happened</t>
  </si>
  <si>
    <t xml:space="preserve">Further actions</t>
  </si>
  <si>
    <t xml:space="preserve">Due date</t>
  </si>
  <si>
    <t xml:space="preserve">NC log ref</t>
  </si>
  <si>
    <t xml:space="preserve">Row</t>
  </si>
  <si>
    <t xml:space="preserve">Accident book</t>
  </si>
  <si>
    <t xml:space="preserve">Insurer</t>
  </si>
  <si>
    <t xml:space="preserve">Yes / No</t>
  </si>
  <si>
    <t xml:space="preserve">These lists feed the drop-downs on the Log. You can change the wording of an option or add one inside the list. If you rename a Type, also rename it in the Summary headings. Do not change RIDDOR category wording: the deadline formulas use it.</t>
  </si>
  <si>
    <t xml:space="preserve">Employee</t>
  </si>
  <si>
    <t xml:space="preserve">Struck by falling tree, branch or timber</t>
  </si>
  <si>
    <t xml:space="preserve">Head</t>
  </si>
  <si>
    <t xml:space="preserve">Cut or laceration – chainsaw</t>
  </si>
  <si>
    <t xml:space="preserve">None</t>
  </si>
  <si>
    <t xml:space="preserve">Yes</t>
  </si>
  <si>
    <t xml:space="preserve">Not reportable</t>
  </si>
  <si>
    <t xml:space="preserve">Planning or risk assessment</t>
  </si>
  <si>
    <t xml:space="preserve">Open</t>
  </si>
  <si>
    <t xml:space="preserve">Yes – insurer notified</t>
  </si>
  <si>
    <t xml:space="preserve">Apprentice / trainee</t>
  </si>
  <si>
    <t xml:space="preserve">Fall from height (tree, MEWP, ladder)</t>
  </si>
  <si>
    <t xml:space="preserve">Eye</t>
  </si>
  <si>
    <t xml:space="preserve">Cut or laceration – other</t>
  </si>
  <si>
    <t xml:space="preserve">First aid on site</t>
  </si>
  <si>
    <t xml:space="preserve">No – do it now</t>
  </si>
  <si>
    <t xml:space="preserve">Over-3-day injury (record only)</t>
  </si>
  <si>
    <t xml:space="preserve">Method or procedure not followed</t>
  </si>
  <si>
    <t xml:space="preserve">Investigating</t>
  </si>
  <si>
    <t xml:space="preserve">Not yet</t>
  </si>
  <si>
    <t xml:space="preserve">No</t>
  </si>
  <si>
    <t xml:space="preserve">Subcontractor</t>
  </si>
  <si>
    <t xml:space="preserve">Slip, trip or fall on the same level</t>
  </si>
  <si>
    <t xml:space="preserve">Face</t>
  </si>
  <si>
    <t xml:space="preserve">Puncture</t>
  </si>
  <si>
    <t xml:space="preserve">GP, walk-in or minor injuries unit</t>
  </si>
  <si>
    <t xml:space="preserve">Not an injury</t>
  </si>
  <si>
    <t xml:space="preserve">Training or competence</t>
  </si>
  <si>
    <t xml:space="preserve">Action in progress</t>
  </si>
  <si>
    <t xml:space="preserve">Not needed</t>
  </si>
  <si>
    <t xml:space="preserve">Agency worker</t>
  </si>
  <si>
    <t xml:space="preserve">Chainsaw contact</t>
  </si>
  <si>
    <t xml:space="preserve">Neck</t>
  </si>
  <si>
    <t xml:space="preserve">Bruise or crush</t>
  </si>
  <si>
    <t xml:space="preserve">Taken to hospital from the scene</t>
  </si>
  <si>
    <t xml:space="preserve">Death</t>
  </si>
  <si>
    <t xml:space="preserve">Supervision</t>
  </si>
  <si>
    <t xml:space="preserve">Awaiting check</t>
  </si>
  <si>
    <t xml:space="preserve">Hand tool or other power tool</t>
  </si>
  <si>
    <t xml:space="preserve">Back</t>
  </si>
  <si>
    <t xml:space="preserve">Sprain or strain</t>
  </si>
  <si>
    <t xml:space="preserve">Admitted to hospital</t>
  </si>
  <si>
    <t xml:space="preserve">Specified injury</t>
  </si>
  <si>
    <t xml:space="preserve">Communication or briefing</t>
  </si>
  <si>
    <t xml:space="preserve">Closed</t>
  </si>
  <si>
    <t xml:space="preserve">Client / customer</t>
  </si>
  <si>
    <t xml:space="preserve">Woodchipper</t>
  </si>
  <si>
    <t xml:space="preserve">Chest or trunk</t>
  </si>
  <si>
    <t xml:space="preserve">Fracture</t>
  </si>
  <si>
    <t xml:space="preserve">Fatal</t>
  </si>
  <si>
    <t xml:space="preserve">Member of public to hospital</t>
  </si>
  <si>
    <t xml:space="preserve">Equipment defect or failure</t>
  </si>
  <si>
    <t xml:space="preserve">Void – logged in error</t>
  </si>
  <si>
    <t xml:space="preserve">Visitor</t>
  </si>
  <si>
    <t xml:space="preserve">Stump grinder</t>
  </si>
  <si>
    <t xml:space="preserve">Shoulder</t>
  </si>
  <si>
    <t xml:space="preserve">Dislocation</t>
  </si>
  <si>
    <t xml:space="preserve">Not applicable</t>
  </si>
  <si>
    <t xml:space="preserve">Equipment inspection or maintenance</t>
  </si>
  <si>
    <t xml:space="preserve">No person involved</t>
  </si>
  <si>
    <t xml:space="preserve">Other machinery or plant</t>
  </si>
  <si>
    <t xml:space="preserve">Arm</t>
  </si>
  <si>
    <t xml:space="preserve">Amputation</t>
  </si>
  <si>
    <t xml:space="preserve">PPE</t>
  </si>
  <si>
    <t xml:space="preserve">Manual handling or lifting</t>
  </si>
  <si>
    <t xml:space="preserve">Elbow</t>
  </si>
  <si>
    <t xml:space="preserve">Burn – heat</t>
  </si>
  <si>
    <t xml:space="preserve">Tree condition or defect</t>
  </si>
  <si>
    <t xml:space="preserve">Struck by moving vehicle or plant</t>
  </si>
  <si>
    <t xml:space="preserve">Wrist</t>
  </si>
  <si>
    <t xml:space="preserve">Burn – chemical</t>
  </si>
  <si>
    <t xml:space="preserve">Site or ground conditions</t>
  </si>
  <si>
    <t xml:space="preserve">Road traffic collision</t>
  </si>
  <si>
    <t xml:space="preserve">Hand</t>
  </si>
  <si>
    <t xml:space="preserve">Eye injury or foreign body</t>
  </si>
  <si>
    <t xml:space="preserve">Weather</t>
  </si>
  <si>
    <t xml:space="preserve">Overhead power line or electricity</t>
  </si>
  <si>
    <t xml:space="preserve">Finger or thumb</t>
  </si>
  <si>
    <t xml:space="preserve">Electric shock</t>
  </si>
  <si>
    <t xml:space="preserve">Third party or public</t>
  </si>
  <si>
    <t xml:space="preserve">Underground service strike</t>
  </si>
  <si>
    <t xml:space="preserve">Hip</t>
  </si>
  <si>
    <t xml:space="preserve">Loss of consciousness</t>
  </si>
  <si>
    <t xml:space="preserve">Time pressure or fatigue</t>
  </si>
  <si>
    <t xml:space="preserve">Hazardous substance (fuel, oil, pesticide)</t>
  </si>
  <si>
    <t xml:space="preserve">Leg</t>
  </si>
  <si>
    <t xml:space="preserve">Bite or sting</t>
  </si>
  <si>
    <t xml:space="preserve">Human factors (slip, lapse, mistake)</t>
  </si>
  <si>
    <t xml:space="preserve">Spill or pollution</t>
  </si>
  <si>
    <t xml:space="preserve">Knee</t>
  </si>
  <si>
    <t xml:space="preserve">Tick bite</t>
  </si>
  <si>
    <t xml:space="preserve">Subcontractor or supplier</t>
  </si>
  <si>
    <t xml:space="preserve">Rigging or lifting equipment failure</t>
  </si>
  <si>
    <t xml:space="preserve">Ankle</t>
  </si>
  <si>
    <t xml:space="preserve">Hearing damage</t>
  </si>
  <si>
    <t xml:space="preserve">Still being investigated</t>
  </si>
  <si>
    <t xml:space="preserve">Animal, insect or tick</t>
  </si>
  <si>
    <t xml:space="preserve">Foot</t>
  </si>
  <si>
    <t xml:space="preserve">Hand-arm vibration (HAVS) or carpal tunnel</t>
  </si>
  <si>
    <t xml:space="preserve">Weather (heat, cold, wind, lightning)</t>
  </si>
  <si>
    <t xml:space="preserve">Toe</t>
  </si>
  <si>
    <t xml:space="preserve">Skin (dermatitis)</t>
  </si>
  <si>
    <t xml:space="preserve">Violence or abuse from a third party</t>
  </si>
  <si>
    <t xml:space="preserve">Multiple</t>
  </si>
  <si>
    <t xml:space="preserve">Breathing (respiratory)</t>
  </si>
  <si>
    <t xml:space="preserve">Fire</t>
  </si>
  <si>
    <t xml:space="preserve">Whole body or internal</t>
  </si>
  <si>
    <t xml:space="preserve">Heat or cold illness</t>
  </si>
  <si>
    <t xml:space="preserve">Damage to third-party property</t>
  </si>
  <si>
    <t xml:space="preserve">Work not to standard or specification</t>
  </si>
  <si>
    <t xml:space="preserve">Other</t>
  </si>
</sst>
</file>

<file path=xl/styles.xml><?xml version="1.0" encoding="utf-8"?>
<styleSheet xmlns="http://schemas.openxmlformats.org/spreadsheetml/2006/main">
  <numFmts count="8">
    <numFmt numFmtId="164" formatCode="General"/>
    <numFmt numFmtId="165" formatCode="dd/mm/yyyy"/>
    <numFmt numFmtId="166" formatCode="hh:mm"/>
    <numFmt numFmtId="167" formatCode="\£#,##0.00"/>
    <numFmt numFmtId="168" formatCode="General"/>
    <numFmt numFmtId="169" formatCode="#,##0"/>
    <numFmt numFmtId="170" formatCode="0.00"/>
    <numFmt numFmtId="171" formatCode="0"/>
  </numFmts>
  <fonts count="38">
    <font>
      <sz val="11"/>
      <color theme="1"/>
      <name val="Calibri"/>
      <family val="2"/>
      <charset val="1"/>
    </font>
    <font>
      <sz val="10"/>
      <name val="Arial"/>
      <family val="0"/>
    </font>
    <font>
      <sz val="10"/>
      <name val="Arial"/>
      <family val="0"/>
    </font>
    <font>
      <sz val="10"/>
      <name val="Arial"/>
      <family val="0"/>
    </font>
    <font>
      <b val="true"/>
      <sz val="11"/>
      <color rgb="FFFF0000"/>
      <name val="Aptos"/>
      <family val="0"/>
      <charset val="1"/>
    </font>
    <font>
      <b val="true"/>
      <sz val="18"/>
      <color rgb="FF5C3566"/>
      <name val="Aptos"/>
      <family val="0"/>
      <charset val="1"/>
    </font>
    <font>
      <sz val="10"/>
      <color rgb="FF595959"/>
      <name val="Aptos"/>
      <family val="0"/>
      <charset val="1"/>
    </font>
    <font>
      <b val="true"/>
      <sz val="11"/>
      <color rgb="FFFFFFFF"/>
      <name val="Aptos"/>
      <family val="0"/>
      <charset val="1"/>
    </font>
    <font>
      <b val="true"/>
      <sz val="10"/>
      <color rgb="FF5C3566"/>
      <name val="Aptos"/>
      <family val="0"/>
      <charset val="1"/>
    </font>
    <font>
      <b val="true"/>
      <sz val="10"/>
      <color rgb="FFFF0000"/>
      <name val="Aptos"/>
      <family val="0"/>
      <charset val="1"/>
    </font>
    <font>
      <b val="true"/>
      <sz val="10"/>
      <color rgb="FF0000FF"/>
      <name val="Aptos"/>
      <family val="0"/>
      <charset val="1"/>
    </font>
    <font>
      <i val="true"/>
      <sz val="9"/>
      <color rgb="FF595959"/>
      <name val="Aptos"/>
      <family val="0"/>
      <charset val="1"/>
    </font>
    <font>
      <sz val="10"/>
      <name val="Aptos"/>
      <family val="0"/>
      <charset val="1"/>
    </font>
    <font>
      <b val="true"/>
      <sz val="10"/>
      <color rgb="FFFFFFFF"/>
      <name val="Aptos"/>
      <family val="0"/>
      <charset val="1"/>
    </font>
    <font>
      <b val="true"/>
      <sz val="10"/>
      <name val="Aptos"/>
      <family val="0"/>
      <charset val="1"/>
    </font>
    <font>
      <b val="true"/>
      <sz val="10"/>
      <color rgb="FF9C0006"/>
      <name val="Aptos"/>
      <family val="0"/>
      <charset val="1"/>
    </font>
    <font>
      <b val="true"/>
      <sz val="10"/>
      <color rgb="FF000000"/>
      <name val="Aptos"/>
      <family val="0"/>
      <charset val="1"/>
    </font>
    <font>
      <b val="true"/>
      <sz val="10"/>
      <color rgb="FF7F5F00"/>
      <name val="Aptos"/>
      <family val="0"/>
      <charset val="1"/>
    </font>
    <font>
      <b val="true"/>
      <sz val="10"/>
      <color rgb="FF006100"/>
      <name val="Aptos"/>
      <family val="0"/>
      <charset val="1"/>
    </font>
    <font>
      <b val="true"/>
      <sz val="10"/>
      <color rgb="FF7F7F7F"/>
      <name val="Aptos"/>
      <family val="0"/>
      <charset val="1"/>
    </font>
    <font>
      <sz val="10"/>
      <color rgb="FFFF0000"/>
      <name val="Aptos"/>
      <family val="0"/>
      <charset val="1"/>
    </font>
    <font>
      <b val="true"/>
      <sz val="16"/>
      <color rgb="FF5C3566"/>
      <name val="Aptos"/>
      <family val="0"/>
      <charset val="1"/>
    </font>
    <font>
      <sz val="9"/>
      <color rgb="FF595959"/>
      <name val="Aptos"/>
      <family val="0"/>
      <charset val="1"/>
    </font>
    <font>
      <b val="true"/>
      <sz val="9"/>
      <color rgb="FFFFFFFF"/>
      <name val="Aptos"/>
      <family val="0"/>
      <charset val="1"/>
    </font>
    <font>
      <i val="true"/>
      <sz val="8"/>
      <color rgb="FF595959"/>
      <name val="Aptos"/>
      <family val="0"/>
      <charset val="1"/>
    </font>
    <font>
      <b val="true"/>
      <sz val="9"/>
      <color rgb="FF5C3566"/>
      <name val="Aptos"/>
      <family val="0"/>
      <charset val="1"/>
    </font>
    <font>
      <sz val="9"/>
      <name val="Aptos"/>
      <family val="0"/>
      <charset val="1"/>
    </font>
    <font>
      <sz val="9"/>
      <color rgb="FF5C3566"/>
      <name val="Aptos"/>
      <family val="0"/>
      <charset val="1"/>
    </font>
    <font>
      <b val="true"/>
      <sz val="12"/>
      <color rgb="FF0000FF"/>
      <name val="Aptos"/>
      <family val="0"/>
      <charset val="1"/>
    </font>
    <font>
      <sz val="10"/>
      <color rgb="FF000000"/>
      <name val="Aptos"/>
      <family val="0"/>
      <charset val="1"/>
    </font>
    <font>
      <b val="true"/>
      <sz val="13"/>
      <color rgb="FF5C3566"/>
      <name val="Aptos"/>
      <family val="0"/>
      <charset val="1"/>
    </font>
    <font>
      <b val="true"/>
      <sz val="13"/>
      <color rgb="FF9C0006"/>
      <name val="Aptos"/>
      <family val="0"/>
      <charset val="1"/>
    </font>
    <font>
      <sz val="10"/>
      <color rgb="FF0000FF"/>
      <name val="Aptos"/>
      <family val="0"/>
      <charset val="1"/>
    </font>
    <font>
      <sz val="9"/>
      <color rgb="FFFF0000"/>
      <name val="Aptos"/>
      <family val="0"/>
      <charset val="1"/>
    </font>
    <font>
      <sz val="9"/>
      <color rgb="FF0000FF"/>
      <name val="Aptos"/>
      <family val="0"/>
      <charset val="1"/>
    </font>
    <font>
      <b val="true"/>
      <sz val="18"/>
      <color rgb="FF000000"/>
      <name val="Calibri"/>
      <family val="2"/>
    </font>
    <font>
      <sz val="10"/>
      <color rgb="FF000000"/>
      <name val="Calibri"/>
      <family val="2"/>
    </font>
    <font>
      <b val="true"/>
      <sz val="11"/>
      <color rgb="FF5C3566"/>
      <name val="Aptos"/>
      <family val="0"/>
      <charset val="1"/>
    </font>
  </fonts>
  <fills count="13">
    <fill>
      <patternFill patternType="none"/>
    </fill>
    <fill>
      <patternFill patternType="gray125"/>
    </fill>
    <fill>
      <patternFill patternType="solid">
        <fgColor rgb="FF5C3566"/>
        <bgColor rgb="FF6B4E8E"/>
      </patternFill>
    </fill>
    <fill>
      <patternFill patternType="solid">
        <fgColor rgb="FFF3EFF7"/>
        <bgColor rgb="FFF2F2F2"/>
      </patternFill>
    </fill>
    <fill>
      <patternFill patternType="solid">
        <fgColor rgb="FFE6DEF0"/>
        <bgColor rgb="FFD9D9D9"/>
      </patternFill>
    </fill>
    <fill>
      <patternFill patternType="solid">
        <fgColor rgb="FFFDECEC"/>
        <bgColor rgb="FFF3EFF7"/>
      </patternFill>
    </fill>
    <fill>
      <patternFill patternType="solid">
        <fgColor rgb="FFFFFFFF"/>
        <bgColor rgb="FFFAFAFA"/>
      </patternFill>
    </fill>
    <fill>
      <patternFill patternType="solid">
        <fgColor rgb="FFF4B6B6"/>
        <bgColor rgb="FFC9BCD8"/>
      </patternFill>
    </fill>
    <fill>
      <patternFill patternType="solid">
        <fgColor rgb="FFFFE08A"/>
        <bgColor rgb="FFFDECEC"/>
      </patternFill>
    </fill>
    <fill>
      <patternFill patternType="solid">
        <fgColor rgb="FFC6EFCE"/>
        <bgColor rgb="FFD9D9D9"/>
      </patternFill>
    </fill>
    <fill>
      <patternFill patternType="solid">
        <fgColor rgb="FFF2F2F2"/>
        <bgColor rgb="FFF3EFF7"/>
      </patternFill>
    </fill>
    <fill>
      <patternFill patternType="solid">
        <fgColor rgb="FF6B4E8E"/>
        <bgColor rgb="FF595959"/>
      </patternFill>
    </fill>
    <fill>
      <patternFill patternType="solid">
        <fgColor rgb="FFFAFAFA"/>
        <bgColor rgb="FFFFFFFF"/>
      </patternFill>
    </fill>
  </fills>
  <borders count="2">
    <border diagonalUp="false" diagonalDown="false">
      <left/>
      <right/>
      <top/>
      <bottom/>
      <diagonal/>
    </border>
    <border diagonalUp="false" diagonalDown="false">
      <left style="thin">
        <color rgb="FFC9BCD8"/>
      </left>
      <right style="thin">
        <color rgb="FFC9BCD8"/>
      </right>
      <top style="thin">
        <color rgb="FFC9BCD8"/>
      </top>
      <bottom style="thin">
        <color rgb="FFC9BC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left" vertical="top"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13" fillId="2" borderId="1" xfId="0" applyFont="true" applyBorder="true" applyAlignment="true" applyProtection="false">
      <alignment horizontal="general" vertical="top" textRotation="0" wrapText="true" indent="0" shrinkToFit="false"/>
      <protection locked="true" hidden="false"/>
    </xf>
    <xf numFmtId="164" fontId="14" fillId="4" borderId="1" xfId="0" applyFont="true" applyBorder="true" applyAlignment="true" applyProtection="false">
      <alignment horizontal="general" vertical="top" textRotation="0" wrapText="true" indent="0" shrinkToFit="false"/>
      <protection locked="true" hidden="false"/>
    </xf>
    <xf numFmtId="164" fontId="15" fillId="5" borderId="1" xfId="0" applyFont="true" applyBorder="true" applyAlignment="true" applyProtection="false">
      <alignment horizontal="general" vertical="top" textRotation="0" wrapText="true" indent="0" shrinkToFit="false"/>
      <protection locked="true" hidden="false"/>
    </xf>
    <xf numFmtId="164" fontId="16" fillId="6" borderId="1" xfId="0" applyFont="true" applyBorder="true" applyAlignment="true" applyProtection="false">
      <alignment horizontal="general" vertical="top" textRotation="0" wrapText="true" indent="0" shrinkToFit="false"/>
      <protection locked="true" hidden="false"/>
    </xf>
    <xf numFmtId="164" fontId="15" fillId="7" borderId="1" xfId="0" applyFont="true" applyBorder="true" applyAlignment="true" applyProtection="false">
      <alignment horizontal="general" vertical="top" textRotation="0" wrapText="true" indent="0" shrinkToFit="false"/>
      <protection locked="true" hidden="false"/>
    </xf>
    <xf numFmtId="164" fontId="17" fillId="8" borderId="1" xfId="0" applyFont="true" applyBorder="true" applyAlignment="true" applyProtection="false">
      <alignment horizontal="general" vertical="top" textRotation="0" wrapText="true" indent="0" shrinkToFit="false"/>
      <protection locked="true" hidden="false"/>
    </xf>
    <xf numFmtId="164" fontId="18" fillId="9" borderId="1" xfId="0" applyFont="true" applyBorder="true" applyAlignment="true" applyProtection="false">
      <alignment horizontal="general" vertical="top" textRotation="0" wrapText="true" indent="0" shrinkToFit="false"/>
      <protection locked="true" hidden="false"/>
    </xf>
    <xf numFmtId="164" fontId="19" fillId="10"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20" fillId="0" borderId="1" xfId="0" applyFont="true" applyBorder="true" applyAlignment="true" applyProtection="false">
      <alignment horizontal="general" vertical="top" textRotation="0" wrapText="tru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true" applyAlignment="false" applyProtection="false">
      <alignment horizontal="general" vertical="bottom" textRotation="0" wrapText="false" indent="0" shrinkToFit="false"/>
      <protection locked="true" hidden="false"/>
    </xf>
    <xf numFmtId="164" fontId="22" fillId="0" borderId="0" xfId="0" applyFont="true" applyBorder="true" applyAlignment="false" applyProtection="false">
      <alignment horizontal="general" vertical="bottom" textRotation="0" wrapText="false" indent="0" shrinkToFit="false"/>
      <protection locked="true" hidden="false"/>
    </xf>
    <xf numFmtId="164" fontId="13" fillId="2" borderId="0" xfId="0" applyFont="true" applyBorder="true" applyAlignment="true" applyProtection="false">
      <alignment horizontal="center" vertical="center" textRotation="0" wrapText="true" indent="0" shrinkToFit="false"/>
      <protection locked="true" hidden="false"/>
    </xf>
    <xf numFmtId="164" fontId="23" fillId="11" borderId="1" xfId="0" applyFont="true" applyBorder="true" applyAlignment="true" applyProtection="false">
      <alignment horizontal="center" vertical="center" textRotation="0" wrapText="true" indent="0" shrinkToFit="false"/>
      <protection locked="true" hidden="false"/>
    </xf>
    <xf numFmtId="164" fontId="24" fillId="3" borderId="1" xfId="0" applyFont="true" applyBorder="true" applyAlignment="true" applyProtection="false">
      <alignment horizontal="general" vertical="top" textRotation="0" wrapText="true" indent="0" shrinkToFit="false"/>
      <protection locked="true" hidden="false"/>
    </xf>
    <xf numFmtId="164" fontId="24" fillId="12" borderId="1" xfId="0" applyFont="true" applyBorder="true" applyAlignment="true" applyProtection="false">
      <alignment horizontal="general" vertical="top" textRotation="0" wrapText="true" indent="0" shrinkToFit="false"/>
      <protection locked="true" hidden="false"/>
    </xf>
    <xf numFmtId="164" fontId="25" fillId="3" borderId="1" xfId="0" applyFont="true" applyBorder="true" applyAlignment="true" applyProtection="false">
      <alignment horizontal="general" vertical="top" textRotation="0" wrapText="true" indent="0" shrinkToFit="false"/>
      <protection locked="true" hidden="false"/>
    </xf>
    <xf numFmtId="164" fontId="26" fillId="0" borderId="1" xfId="0" applyFont="true" applyBorder="true" applyAlignment="true" applyProtection="false">
      <alignment horizontal="general" vertical="top" textRotation="0" wrapText="true" indent="0" shrinkToFit="false"/>
      <protection locked="true" hidden="false"/>
    </xf>
    <xf numFmtId="165" fontId="26" fillId="0" borderId="1" xfId="0" applyFont="true" applyBorder="true" applyAlignment="true" applyProtection="false">
      <alignment horizontal="center" vertical="top" textRotation="0" wrapText="true" indent="0" shrinkToFit="false"/>
      <protection locked="true" hidden="false"/>
    </xf>
    <xf numFmtId="166" fontId="26" fillId="0" borderId="1" xfId="0" applyFont="true" applyBorder="true" applyAlignment="true" applyProtection="false">
      <alignment horizontal="center" vertical="top" textRotation="0" wrapText="true" indent="0" shrinkToFit="false"/>
      <protection locked="true" hidden="false"/>
    </xf>
    <xf numFmtId="164" fontId="26" fillId="0" borderId="1" xfId="0" applyFont="true" applyBorder="true" applyAlignment="true" applyProtection="false">
      <alignment horizontal="center" vertical="top" textRotation="0" wrapText="true" indent="0" shrinkToFit="false"/>
      <protection locked="true" hidden="false"/>
    </xf>
    <xf numFmtId="164" fontId="27" fillId="3" borderId="1" xfId="0" applyFont="true" applyBorder="true" applyAlignment="true" applyProtection="false">
      <alignment horizontal="center" vertical="top" textRotation="0" wrapText="true" indent="0" shrinkToFit="false"/>
      <protection locked="true" hidden="false"/>
    </xf>
    <xf numFmtId="165" fontId="27" fillId="3" borderId="1" xfId="0" applyFont="true" applyBorder="true" applyAlignment="true" applyProtection="false">
      <alignment horizontal="center" vertical="top" textRotation="0" wrapText="true" indent="0" shrinkToFit="false"/>
      <protection locked="true" hidden="false"/>
    </xf>
    <xf numFmtId="167" fontId="26" fillId="0" borderId="1" xfId="0" applyFont="true" applyBorder="true" applyAlignment="true" applyProtection="false">
      <alignment horizontal="center" vertical="top" textRotation="0" wrapText="true" indent="0" shrinkToFit="false"/>
      <protection locked="true" hidden="false"/>
    </xf>
    <xf numFmtId="164" fontId="25" fillId="3" borderId="1" xfId="0" applyFont="true" applyBorder="true" applyAlignment="true" applyProtection="false">
      <alignment horizontal="center" vertical="top" textRotation="0" wrapText="true" indent="0" shrinkToFit="false"/>
      <protection locked="true" hidden="false"/>
    </xf>
    <xf numFmtId="164" fontId="27"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28" fillId="0"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8" fontId="8" fillId="6" borderId="1" xfId="0" applyFont="true" applyBorder="true" applyAlignment="true" applyProtection="false">
      <alignment horizontal="center" vertical="center" textRotation="0" wrapText="true" indent="0" shrinkToFit="false"/>
      <protection locked="true" hidden="false"/>
    </xf>
    <xf numFmtId="168" fontId="29" fillId="6" borderId="1" xfId="0" applyFont="true" applyBorder="true" applyAlignment="true" applyProtection="false">
      <alignment horizontal="center" vertical="center" textRotation="0" wrapText="true" indent="0" shrinkToFit="false"/>
      <protection locked="true" hidden="false"/>
    </xf>
    <xf numFmtId="168" fontId="16" fillId="6" borderId="1" xfId="0" applyFont="true" applyBorder="true" applyAlignment="true" applyProtection="false">
      <alignment horizontal="center" vertical="center" textRotation="0" wrapText="true" indent="0" shrinkToFit="false"/>
      <protection locked="true" hidden="false"/>
    </xf>
    <xf numFmtId="169" fontId="29" fillId="6" borderId="1" xfId="0" applyFont="true" applyBorder="true" applyAlignment="true" applyProtection="false">
      <alignment horizontal="center" vertical="center" textRotation="0" wrapText="true" indent="0" shrinkToFit="false"/>
      <protection locked="true" hidden="false"/>
    </xf>
    <xf numFmtId="170" fontId="29" fillId="6" borderId="1" xfId="0" applyFont="true" applyBorder="true" applyAlignment="true" applyProtection="false">
      <alignment horizontal="center" vertical="center" textRotation="0" wrapText="true" indent="0" shrinkToFit="false"/>
      <protection locked="true" hidden="false"/>
    </xf>
    <xf numFmtId="168" fontId="8" fillId="3" borderId="1" xfId="0" applyFont="true" applyBorder="true" applyAlignment="true" applyProtection="false">
      <alignment horizontal="center" vertical="center" textRotation="0" wrapText="true" indent="0" shrinkToFit="false"/>
      <protection locked="true" hidden="false"/>
    </xf>
    <xf numFmtId="168" fontId="29" fillId="3" borderId="1" xfId="0" applyFont="true" applyBorder="true" applyAlignment="true" applyProtection="false">
      <alignment horizontal="center" vertical="center" textRotation="0" wrapText="true" indent="0" shrinkToFit="false"/>
      <protection locked="true" hidden="false"/>
    </xf>
    <xf numFmtId="168" fontId="16" fillId="3" borderId="1" xfId="0" applyFont="true" applyBorder="true" applyAlignment="true" applyProtection="false">
      <alignment horizontal="center" vertical="center" textRotation="0" wrapText="true" indent="0" shrinkToFit="false"/>
      <protection locked="true" hidden="false"/>
    </xf>
    <xf numFmtId="169" fontId="29" fillId="3" borderId="1" xfId="0" applyFont="true" applyBorder="true" applyAlignment="true" applyProtection="false">
      <alignment horizontal="center" vertical="center" textRotation="0" wrapText="true" indent="0" shrinkToFit="false"/>
      <protection locked="true" hidden="false"/>
    </xf>
    <xf numFmtId="170" fontId="29" fillId="3" borderId="1" xfId="0" applyFont="true" applyBorder="true" applyAlignment="true" applyProtection="false">
      <alignment horizontal="center" vertical="center" textRotation="0" wrapText="true" indent="0" shrinkToFit="false"/>
      <protection locked="true" hidden="false"/>
    </xf>
    <xf numFmtId="164" fontId="13" fillId="2" borderId="1" xfId="0" applyFont="true" applyBorder="true" applyAlignment="true" applyProtection="false">
      <alignment horizontal="center" vertical="center" textRotation="0" wrapText="true" indent="0" shrinkToFit="false"/>
      <protection locked="true" hidden="false"/>
    </xf>
    <xf numFmtId="169" fontId="13" fillId="2" borderId="1" xfId="0" applyFont="true" applyBorder="true" applyAlignment="true" applyProtection="false">
      <alignment horizontal="center" vertical="center" textRotation="0" wrapText="true" indent="0" shrinkToFit="false"/>
      <protection locked="true" hidden="false"/>
    </xf>
    <xf numFmtId="170" fontId="13" fillId="2"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8" fontId="30" fillId="0" borderId="1" xfId="0" applyFont="true" applyBorder="true" applyAlignment="true" applyProtection="false">
      <alignment horizontal="center" vertical="center" textRotation="0" wrapText="true" indent="0" shrinkToFit="false"/>
      <protection locked="true" hidden="false"/>
    </xf>
    <xf numFmtId="168" fontId="31" fillId="0" borderId="1" xfId="0" applyFont="true" applyBorder="true" applyAlignment="true" applyProtection="false">
      <alignment horizontal="center" vertical="center" textRotation="0" wrapText="true" indent="0" shrinkToFit="false"/>
      <protection locked="true" hidden="false"/>
    </xf>
    <xf numFmtId="164" fontId="13" fillId="2"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9" fontId="32" fillId="0" borderId="1" xfId="0" applyFont="true" applyBorder="true" applyAlignment="true" applyProtection="false">
      <alignment horizontal="center" vertical="center" textRotation="0" wrapText="true" indent="0" shrinkToFit="false"/>
      <protection locked="true" hidden="false"/>
    </xf>
    <xf numFmtId="164" fontId="33" fillId="0" borderId="1" xfId="0" applyFont="true" applyBorder="true" applyAlignment="false" applyProtection="false">
      <alignment horizontal="general" vertical="bottom" textRotation="0" wrapText="false" indent="0" shrinkToFit="false"/>
      <protection locked="true" hidden="false"/>
    </xf>
    <xf numFmtId="164" fontId="34" fillId="0" borderId="1" xfId="0" applyFont="true" applyBorder="true" applyAlignment="false" applyProtection="false">
      <alignment horizontal="general" vertical="bottom" textRotation="0" wrapText="false" indent="0" shrinkToFit="false"/>
      <protection locked="true" hidden="false"/>
    </xf>
    <xf numFmtId="164" fontId="37" fillId="0" borderId="0" xfId="0" applyFont="true" applyBorder="true" applyAlignment="false" applyProtection="false">
      <alignment horizontal="general" vertical="bottom" textRotation="0" wrapText="false" indent="0" shrinkToFit="false"/>
      <protection locked="true" hidden="false"/>
    </xf>
    <xf numFmtId="164" fontId="26" fillId="6" borderId="1" xfId="0" applyFont="true" applyBorder="true" applyAlignment="true" applyProtection="false">
      <alignment horizontal="center" vertical="top" textRotation="0" wrapText="true" indent="0" shrinkToFit="false"/>
      <protection locked="true" hidden="false"/>
    </xf>
    <xf numFmtId="164" fontId="26" fillId="6" borderId="1" xfId="0" applyFont="true" applyBorder="true" applyAlignment="true" applyProtection="false">
      <alignment horizontal="general" vertical="top" textRotation="0" wrapText="true" indent="0" shrinkToFit="false"/>
      <protection locked="true" hidden="false"/>
    </xf>
    <xf numFmtId="165" fontId="26" fillId="6" borderId="1" xfId="0" applyFont="true" applyBorder="true" applyAlignment="true" applyProtection="false">
      <alignment horizontal="center" vertical="top" textRotation="0" wrapText="true" indent="0" shrinkToFit="false"/>
      <protection locked="true" hidden="false"/>
    </xf>
    <xf numFmtId="164" fontId="26" fillId="3" borderId="1" xfId="0" applyFont="true" applyBorder="true" applyAlignment="true" applyProtection="false">
      <alignment horizontal="center" vertical="top" textRotation="0" wrapText="true" indent="0" shrinkToFit="false"/>
      <protection locked="true" hidden="false"/>
    </xf>
    <xf numFmtId="164" fontId="26" fillId="3" borderId="1" xfId="0" applyFont="true" applyBorder="true" applyAlignment="true" applyProtection="false">
      <alignment horizontal="general" vertical="top" textRotation="0" wrapText="true" indent="0" shrinkToFit="false"/>
      <protection locked="true" hidden="false"/>
    </xf>
    <xf numFmtId="165" fontId="26" fillId="3" borderId="1" xfId="0" applyFont="true" applyBorder="true" applyAlignment="true" applyProtection="false">
      <alignment horizontal="center" vertical="top" textRotation="0" wrapText="true" indent="0" shrinkToFit="false"/>
      <protection locked="true" hidden="false"/>
    </xf>
    <xf numFmtId="164" fontId="13" fillId="11"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6B4E8E"/>
          <bgColor rgb="FF000000"/>
        </patternFill>
      </fill>
    </dxf>
    <dxf>
      <fill>
        <patternFill patternType="solid">
          <fgColor rgb="FFF3EFF7"/>
          <bgColor rgb="FF000000"/>
        </patternFill>
      </fill>
    </dxf>
    <dxf>
      <fill>
        <patternFill patternType="solid">
          <fgColor rgb="FF595959"/>
          <bgColor rgb="FF000000"/>
        </patternFill>
      </fill>
    </dxf>
    <dxf>
      <fill>
        <patternFill patternType="solid">
          <fgColor rgb="FF5C3566"/>
          <bgColor rgb="FF000000"/>
        </patternFill>
      </fill>
    </dxf>
    <dxf>
      <fill>
        <patternFill patternType="solid">
          <fgColor rgb="FFFFFFFF"/>
          <bgColor rgb="FF000000"/>
        </patternFill>
      </fill>
    </dxf>
    <dxf>
      <fill>
        <patternFill patternType="solid">
          <fgColor rgb="FFFAFAFA"/>
          <bgColor rgb="FF000000"/>
        </patternFill>
      </fill>
    </dxf>
    <dxf>
      <fill>
        <patternFill patternType="solid">
          <bgColor rgb="FF000000"/>
        </patternFill>
      </fill>
    </dxf>
    <dxf>
      <font>
        <name val="Aptos"/>
        <charset val="1"/>
        <family val="0"/>
        <strike val="1"/>
        <color rgb="FF7F7F7F"/>
        <sz val="9"/>
      </font>
      <fill>
        <patternFill>
          <bgColor rgb="FFF2F2F2"/>
        </patternFill>
      </fill>
    </dxf>
    <dxf>
      <font>
        <name val="Aptos"/>
        <charset val="1"/>
        <family val="0"/>
        <b val="1"/>
        <color rgb="FF9C0006"/>
        <sz val="9"/>
      </font>
      <fill>
        <patternFill>
          <bgColor rgb="FFF4B6B6"/>
        </patternFill>
      </fill>
    </dxf>
    <dxf>
      <font>
        <name val="Aptos"/>
        <charset val="1"/>
        <family val="0"/>
        <b val="1"/>
        <color rgb="FF7F5F00"/>
        <sz val="9"/>
      </font>
      <fill>
        <patternFill>
          <bgColor rgb="FFFFE08A"/>
        </patternFill>
      </fill>
    </dxf>
    <dxf>
      <font>
        <name val="Aptos"/>
        <charset val="1"/>
        <family val="0"/>
        <b val="1"/>
        <color rgb="FF006100"/>
        <sz val="9"/>
      </font>
      <fill>
        <patternFill>
          <bgColor rgb="FFC6EFCE"/>
        </patternFill>
      </fill>
    </dxf>
    <dxf>
      <font>
        <name val="Aptos"/>
        <charset val="1"/>
        <family val="0"/>
        <color rgb="FF006100"/>
        <sz val="9"/>
      </font>
      <fill>
        <patternFill>
          <bgColor rgb="FFC6EFCE"/>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7F5F00"/>
      <rgbColor rgb="FF800080"/>
      <rgbColor rgb="FF008080"/>
      <rgbColor rgb="FFC9BCD8"/>
      <rgbColor rgb="FF7F7F7F"/>
      <rgbColor rgb="FF9999FF"/>
      <rgbColor rgb="FF993366"/>
      <rgbColor rgb="FFFAFAFA"/>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3EFF7"/>
      <rgbColor rgb="FFC6EFCE"/>
      <rgbColor rgb="FFFDECEC"/>
      <rgbColor rgb="FFE6DEF0"/>
      <rgbColor rgb="FFF4B6B6"/>
      <rgbColor rgb="FFCC99FF"/>
      <rgbColor rgb="FFFFE08A"/>
      <rgbColor rgb="FF3366FF"/>
      <rgbColor rgb="FF33CCCC"/>
      <rgbColor rgb="FF99CC00"/>
      <rgbColor rgb="FFFFCC00"/>
      <rgbColor rgb="FFFF9900"/>
      <rgbColor rgb="FFFF6600"/>
      <rgbColor rgb="FF6B4E8E"/>
      <rgbColor rgb="FF878787"/>
      <rgbColor rgb="FF003366"/>
      <rgbColor rgb="FF339966"/>
      <rgbColor rgb="FF003300"/>
      <rgbColor rgb="FF333300"/>
      <rgbColor rgb="FF993300"/>
      <rgbColor rgb="FF993366"/>
      <rgbColor rgb="FF5C3566"/>
      <rgbColor rgb="FF59595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Injury</a:t>
            </a:r>
          </a:p>
        </c:rich>
      </c:tx>
      <c:overlay val="0"/>
      <c:spPr>
        <a:noFill/>
        <a:ln w="0">
          <a:noFill/>
        </a:ln>
      </c:spPr>
    </c:title>
    <c:autoTitleDeleted val="0"/>
    <c:plotArea>
      <c:barChart>
        <c:barDir val="col"/>
        <c:grouping val="clustered"/>
        <c:varyColors val="0"/>
        <c:ser>
          <c:idx val="0"/>
          <c:order val="0"/>
          <c:tx>
            <c:strRef>
              <c:f>Summary!B6</c:f>
              <c:strCache>
                <c:ptCount val="1"/>
                <c:pt idx="0">
                  <c:v>Injury</c:v>
                </c:pt>
              </c:strCache>
            </c:strRef>
          </c:tx>
          <c:spPr>
            <a:solidFill>
              <a:srgbClr val="6b4e8e"/>
            </a:solidFill>
            <a:ln w="9360">
              <a:solidFill>
                <a:srgbClr val="6b4e8e"/>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Summary!$A$7:$A$11</c:f>
              <c:strCache>
                <c:ptCount val="5"/>
                <c:pt idx="0">
                  <c:v>2022</c:v>
                </c:pt>
                <c:pt idx="1">
                  <c:v>2023</c:v>
                </c:pt>
                <c:pt idx="2">
                  <c:v>2024</c:v>
                </c:pt>
                <c:pt idx="3">
                  <c:v>2025</c:v>
                </c:pt>
                <c:pt idx="4">
                  <c:v>2026</c:v>
                </c:pt>
              </c:strCache>
            </c:strRef>
          </c:cat>
          <c:val>
            <c:numRef>
              <c:f>Summary!$B$7:$B$11</c:f>
              <c:numCache>
                <c:formatCode>General</c:formatCode>
                <c:ptCount val="5"/>
                <c:pt idx="0">
                  <c:v>0</c:v>
                </c:pt>
                <c:pt idx="1">
                  <c:v>0</c:v>
                </c:pt>
                <c:pt idx="2">
                  <c:v>0</c:v>
                </c:pt>
                <c:pt idx="3">
                  <c:v>0</c:v>
                </c:pt>
                <c:pt idx="4">
                  <c:v>0</c:v>
                </c:pt>
              </c:numCache>
            </c:numRef>
          </c:val>
        </c:ser>
        <c:gapWidth val="60"/>
        <c:overlap val="0"/>
        <c:axId val="5910447"/>
        <c:axId val="73343069"/>
      </c:barChart>
      <c:catAx>
        <c:axId val="591044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3343069"/>
        <c:crosses val="autoZero"/>
        <c:auto val="1"/>
        <c:lblAlgn val="ctr"/>
        <c:lblOffset val="100"/>
        <c:noMultiLvlLbl val="0"/>
      </c:catAx>
      <c:valAx>
        <c:axId val="73343069"/>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910447"/>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Near miss</a:t>
            </a:r>
          </a:p>
        </c:rich>
      </c:tx>
      <c:overlay val="0"/>
      <c:spPr>
        <a:noFill/>
        <a:ln w="0">
          <a:noFill/>
        </a:ln>
      </c:spPr>
    </c:title>
    <c:autoTitleDeleted val="0"/>
    <c:plotArea>
      <c:barChart>
        <c:barDir val="col"/>
        <c:grouping val="clustered"/>
        <c:varyColors val="0"/>
        <c:ser>
          <c:idx val="0"/>
          <c:order val="0"/>
          <c:tx>
            <c:strRef>
              <c:f>Summary!C6</c:f>
              <c:strCache>
                <c:ptCount val="1"/>
                <c:pt idx="0">
                  <c:v>Near miss</c:v>
                </c:pt>
              </c:strCache>
            </c:strRef>
          </c:tx>
          <c:spPr>
            <a:solidFill>
              <a:srgbClr val="6b4e8e"/>
            </a:solidFill>
            <a:ln w="9360">
              <a:solidFill>
                <a:srgbClr val="6b4e8e"/>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Summary!$A$7:$A$11</c:f>
              <c:strCache>
                <c:ptCount val="5"/>
                <c:pt idx="0">
                  <c:v>2022</c:v>
                </c:pt>
                <c:pt idx="1">
                  <c:v>2023</c:v>
                </c:pt>
                <c:pt idx="2">
                  <c:v>2024</c:v>
                </c:pt>
                <c:pt idx="3">
                  <c:v>2025</c:v>
                </c:pt>
                <c:pt idx="4">
                  <c:v>2026</c:v>
                </c:pt>
              </c:strCache>
            </c:strRef>
          </c:cat>
          <c:val>
            <c:numRef>
              <c:f>Summary!$C$7:$C$11</c:f>
              <c:numCache>
                <c:formatCode>General</c:formatCode>
                <c:ptCount val="5"/>
                <c:pt idx="0">
                  <c:v>0</c:v>
                </c:pt>
                <c:pt idx="1">
                  <c:v>0</c:v>
                </c:pt>
                <c:pt idx="2">
                  <c:v>0</c:v>
                </c:pt>
                <c:pt idx="3">
                  <c:v>0</c:v>
                </c:pt>
                <c:pt idx="4">
                  <c:v>0</c:v>
                </c:pt>
              </c:numCache>
            </c:numRef>
          </c:val>
        </c:ser>
        <c:gapWidth val="60"/>
        <c:overlap val="0"/>
        <c:axId val="76142809"/>
        <c:axId val="25320793"/>
      </c:barChart>
      <c:catAx>
        <c:axId val="7614280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5320793"/>
        <c:crosses val="autoZero"/>
        <c:auto val="1"/>
        <c:lblAlgn val="ctr"/>
        <c:lblOffset val="100"/>
        <c:noMultiLvlLbl val="0"/>
      </c:catAx>
      <c:valAx>
        <c:axId val="25320793"/>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6142809"/>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Property damage</a:t>
            </a:r>
          </a:p>
        </c:rich>
      </c:tx>
      <c:overlay val="0"/>
      <c:spPr>
        <a:noFill/>
        <a:ln w="0">
          <a:noFill/>
        </a:ln>
      </c:spPr>
    </c:title>
    <c:autoTitleDeleted val="0"/>
    <c:plotArea>
      <c:barChart>
        <c:barDir val="col"/>
        <c:grouping val="clustered"/>
        <c:varyColors val="0"/>
        <c:ser>
          <c:idx val="0"/>
          <c:order val="0"/>
          <c:tx>
            <c:strRef>
              <c:f>Summary!D6</c:f>
              <c:strCache>
                <c:ptCount val="1"/>
                <c:pt idx="0">
                  <c:v>Property damage</c:v>
                </c:pt>
              </c:strCache>
            </c:strRef>
          </c:tx>
          <c:spPr>
            <a:solidFill>
              <a:srgbClr val="6b4e8e"/>
            </a:solidFill>
            <a:ln w="9360">
              <a:solidFill>
                <a:srgbClr val="6b4e8e"/>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Summary!$A$7:$A$11</c:f>
              <c:strCache>
                <c:ptCount val="5"/>
                <c:pt idx="0">
                  <c:v>2022</c:v>
                </c:pt>
                <c:pt idx="1">
                  <c:v>2023</c:v>
                </c:pt>
                <c:pt idx="2">
                  <c:v>2024</c:v>
                </c:pt>
                <c:pt idx="3">
                  <c:v>2025</c:v>
                </c:pt>
                <c:pt idx="4">
                  <c:v>2026</c:v>
                </c:pt>
              </c:strCache>
            </c:strRef>
          </c:cat>
          <c:val>
            <c:numRef>
              <c:f>Summary!$D$7:$D$11</c:f>
              <c:numCache>
                <c:formatCode>General</c:formatCode>
                <c:ptCount val="5"/>
                <c:pt idx="0">
                  <c:v>0</c:v>
                </c:pt>
                <c:pt idx="1">
                  <c:v>0</c:v>
                </c:pt>
                <c:pt idx="2">
                  <c:v>0</c:v>
                </c:pt>
                <c:pt idx="3">
                  <c:v>0</c:v>
                </c:pt>
                <c:pt idx="4">
                  <c:v>0</c:v>
                </c:pt>
              </c:numCache>
            </c:numRef>
          </c:val>
        </c:ser>
        <c:gapWidth val="60"/>
        <c:overlap val="0"/>
        <c:axId val="54615214"/>
        <c:axId val="42790079"/>
      </c:barChart>
      <c:catAx>
        <c:axId val="5461521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2790079"/>
        <c:crosses val="autoZero"/>
        <c:auto val="1"/>
        <c:lblAlgn val="ctr"/>
        <c:lblOffset val="100"/>
        <c:noMultiLvlLbl val="0"/>
      </c:catAx>
      <c:valAx>
        <c:axId val="42790079"/>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4615214"/>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Non-conformance</a:t>
            </a:r>
          </a:p>
        </c:rich>
      </c:tx>
      <c:overlay val="0"/>
      <c:spPr>
        <a:noFill/>
        <a:ln w="0">
          <a:noFill/>
        </a:ln>
      </c:spPr>
    </c:title>
    <c:autoTitleDeleted val="0"/>
    <c:plotArea>
      <c:barChart>
        <c:barDir val="col"/>
        <c:grouping val="clustered"/>
        <c:varyColors val="0"/>
        <c:ser>
          <c:idx val="0"/>
          <c:order val="0"/>
          <c:tx>
            <c:strRef>
              <c:f>Summary!E6</c:f>
              <c:strCache>
                <c:ptCount val="1"/>
                <c:pt idx="0">
                  <c:v>Non-conformance</c:v>
                </c:pt>
              </c:strCache>
            </c:strRef>
          </c:tx>
          <c:spPr>
            <a:solidFill>
              <a:srgbClr val="6b4e8e"/>
            </a:solidFill>
            <a:ln w="9360">
              <a:solidFill>
                <a:srgbClr val="6b4e8e"/>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Summary!$A$7:$A$11</c:f>
              <c:strCache>
                <c:ptCount val="5"/>
                <c:pt idx="0">
                  <c:v>2022</c:v>
                </c:pt>
                <c:pt idx="1">
                  <c:v>2023</c:v>
                </c:pt>
                <c:pt idx="2">
                  <c:v>2024</c:v>
                </c:pt>
                <c:pt idx="3">
                  <c:v>2025</c:v>
                </c:pt>
                <c:pt idx="4">
                  <c:v>2026</c:v>
                </c:pt>
              </c:strCache>
            </c:strRef>
          </c:cat>
          <c:val>
            <c:numRef>
              <c:f>Summary!$E$7:$E$11</c:f>
              <c:numCache>
                <c:formatCode>General</c:formatCode>
                <c:ptCount val="5"/>
                <c:pt idx="0">
                  <c:v>0</c:v>
                </c:pt>
                <c:pt idx="1">
                  <c:v>0</c:v>
                </c:pt>
                <c:pt idx="2">
                  <c:v>0</c:v>
                </c:pt>
                <c:pt idx="3">
                  <c:v>0</c:v>
                </c:pt>
                <c:pt idx="4">
                  <c:v>0</c:v>
                </c:pt>
              </c:numCache>
            </c:numRef>
          </c:val>
        </c:ser>
        <c:gapWidth val="60"/>
        <c:overlap val="0"/>
        <c:axId val="87585267"/>
        <c:axId val="88872466"/>
      </c:barChart>
      <c:catAx>
        <c:axId val="8758526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8872466"/>
        <c:crosses val="autoZero"/>
        <c:auto val="1"/>
        <c:lblAlgn val="ctr"/>
        <c:lblOffset val="100"/>
        <c:noMultiLvlLbl val="0"/>
      </c:catAx>
      <c:valAx>
        <c:axId val="88872466"/>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7585267"/>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Environmental</a:t>
            </a:r>
          </a:p>
        </c:rich>
      </c:tx>
      <c:overlay val="0"/>
      <c:spPr>
        <a:noFill/>
        <a:ln w="0">
          <a:noFill/>
        </a:ln>
      </c:spPr>
    </c:title>
    <c:autoTitleDeleted val="0"/>
    <c:plotArea>
      <c:barChart>
        <c:barDir val="col"/>
        <c:grouping val="clustered"/>
        <c:varyColors val="0"/>
        <c:ser>
          <c:idx val="0"/>
          <c:order val="0"/>
          <c:tx>
            <c:strRef>
              <c:f>Summary!F6</c:f>
              <c:strCache>
                <c:ptCount val="1"/>
                <c:pt idx="0">
                  <c:v>Environmental</c:v>
                </c:pt>
              </c:strCache>
            </c:strRef>
          </c:tx>
          <c:spPr>
            <a:solidFill>
              <a:srgbClr val="6b4e8e"/>
            </a:solidFill>
            <a:ln w="9360">
              <a:solidFill>
                <a:srgbClr val="6b4e8e"/>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Summary!$A$7:$A$11</c:f>
              <c:strCache>
                <c:ptCount val="5"/>
                <c:pt idx="0">
                  <c:v>2022</c:v>
                </c:pt>
                <c:pt idx="1">
                  <c:v>2023</c:v>
                </c:pt>
                <c:pt idx="2">
                  <c:v>2024</c:v>
                </c:pt>
                <c:pt idx="3">
                  <c:v>2025</c:v>
                </c:pt>
                <c:pt idx="4">
                  <c:v>2026</c:v>
                </c:pt>
              </c:strCache>
            </c:strRef>
          </c:cat>
          <c:val>
            <c:numRef>
              <c:f>Summary!$F$7:$F$11</c:f>
              <c:numCache>
                <c:formatCode>General</c:formatCode>
                <c:ptCount val="5"/>
                <c:pt idx="0">
                  <c:v>0</c:v>
                </c:pt>
                <c:pt idx="1">
                  <c:v>0</c:v>
                </c:pt>
                <c:pt idx="2">
                  <c:v>0</c:v>
                </c:pt>
                <c:pt idx="3">
                  <c:v>0</c:v>
                </c:pt>
                <c:pt idx="4">
                  <c:v>0</c:v>
                </c:pt>
              </c:numCache>
            </c:numRef>
          </c:val>
        </c:ser>
        <c:gapWidth val="60"/>
        <c:overlap val="0"/>
        <c:axId val="47721389"/>
        <c:axId val="6297246"/>
      </c:barChart>
      <c:catAx>
        <c:axId val="4772138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297246"/>
        <c:crosses val="autoZero"/>
        <c:auto val="1"/>
        <c:lblAlgn val="ctr"/>
        <c:lblOffset val="100"/>
        <c:noMultiLvlLbl val="0"/>
      </c:catAx>
      <c:valAx>
        <c:axId val="6297246"/>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7721389"/>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Vehicle</a:t>
            </a:r>
          </a:p>
        </c:rich>
      </c:tx>
      <c:overlay val="0"/>
      <c:spPr>
        <a:noFill/>
        <a:ln w="0">
          <a:noFill/>
        </a:ln>
      </c:spPr>
    </c:title>
    <c:autoTitleDeleted val="0"/>
    <c:plotArea>
      <c:barChart>
        <c:barDir val="col"/>
        <c:grouping val="clustered"/>
        <c:varyColors val="0"/>
        <c:ser>
          <c:idx val="0"/>
          <c:order val="0"/>
          <c:tx>
            <c:strRef>
              <c:f>Summary!G6</c:f>
              <c:strCache>
                <c:ptCount val="1"/>
                <c:pt idx="0">
                  <c:v>Vehicle</c:v>
                </c:pt>
              </c:strCache>
            </c:strRef>
          </c:tx>
          <c:spPr>
            <a:solidFill>
              <a:srgbClr val="6b4e8e"/>
            </a:solidFill>
            <a:ln w="9360">
              <a:solidFill>
                <a:srgbClr val="6b4e8e"/>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Summary!$A$7:$A$11</c:f>
              <c:strCache>
                <c:ptCount val="5"/>
                <c:pt idx="0">
                  <c:v>2022</c:v>
                </c:pt>
                <c:pt idx="1">
                  <c:v>2023</c:v>
                </c:pt>
                <c:pt idx="2">
                  <c:v>2024</c:v>
                </c:pt>
                <c:pt idx="3">
                  <c:v>2025</c:v>
                </c:pt>
                <c:pt idx="4">
                  <c:v>2026</c:v>
                </c:pt>
              </c:strCache>
            </c:strRef>
          </c:cat>
          <c:val>
            <c:numRef>
              <c:f>Summary!$G$7:$G$11</c:f>
              <c:numCache>
                <c:formatCode>General</c:formatCode>
                <c:ptCount val="5"/>
                <c:pt idx="0">
                  <c:v>0</c:v>
                </c:pt>
                <c:pt idx="1">
                  <c:v>0</c:v>
                </c:pt>
                <c:pt idx="2">
                  <c:v>0</c:v>
                </c:pt>
                <c:pt idx="3">
                  <c:v>0</c:v>
                </c:pt>
                <c:pt idx="4">
                  <c:v>0</c:v>
                </c:pt>
              </c:numCache>
            </c:numRef>
          </c:val>
        </c:ser>
        <c:gapWidth val="60"/>
        <c:overlap val="0"/>
        <c:axId val="31426966"/>
        <c:axId val="20023353"/>
      </c:barChart>
      <c:catAx>
        <c:axId val="3142696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0023353"/>
        <c:crosses val="autoZero"/>
        <c:auto val="1"/>
        <c:lblAlgn val="ctr"/>
        <c:lblOffset val="100"/>
        <c:noMultiLvlLbl val="0"/>
      </c:catAx>
      <c:valAx>
        <c:axId val="20023353"/>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426966"/>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charts/chart7.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Dangerous occurrence</a:t>
            </a:r>
          </a:p>
        </c:rich>
      </c:tx>
      <c:overlay val="0"/>
      <c:spPr>
        <a:noFill/>
        <a:ln w="0">
          <a:noFill/>
        </a:ln>
      </c:spPr>
    </c:title>
    <c:autoTitleDeleted val="0"/>
    <c:plotArea>
      <c:barChart>
        <c:barDir val="col"/>
        <c:grouping val="clustered"/>
        <c:varyColors val="0"/>
        <c:ser>
          <c:idx val="0"/>
          <c:order val="0"/>
          <c:tx>
            <c:strRef>
              <c:f>Summary!H6</c:f>
              <c:strCache>
                <c:ptCount val="1"/>
                <c:pt idx="0">
                  <c:v>Dangerous occurrence</c:v>
                </c:pt>
              </c:strCache>
            </c:strRef>
          </c:tx>
          <c:spPr>
            <a:solidFill>
              <a:srgbClr val="6b4e8e"/>
            </a:solidFill>
            <a:ln w="9360">
              <a:solidFill>
                <a:srgbClr val="6b4e8e"/>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Summary!$A$7:$A$11</c:f>
              <c:strCache>
                <c:ptCount val="5"/>
                <c:pt idx="0">
                  <c:v>2022</c:v>
                </c:pt>
                <c:pt idx="1">
                  <c:v>2023</c:v>
                </c:pt>
                <c:pt idx="2">
                  <c:v>2024</c:v>
                </c:pt>
                <c:pt idx="3">
                  <c:v>2025</c:v>
                </c:pt>
                <c:pt idx="4">
                  <c:v>2026</c:v>
                </c:pt>
              </c:strCache>
            </c:strRef>
          </c:cat>
          <c:val>
            <c:numRef>
              <c:f>Summary!$H$7:$H$11</c:f>
              <c:numCache>
                <c:formatCode>General</c:formatCode>
                <c:ptCount val="5"/>
                <c:pt idx="0">
                  <c:v>0</c:v>
                </c:pt>
                <c:pt idx="1">
                  <c:v>0</c:v>
                </c:pt>
                <c:pt idx="2">
                  <c:v>0</c:v>
                </c:pt>
                <c:pt idx="3">
                  <c:v>0</c:v>
                </c:pt>
                <c:pt idx="4">
                  <c:v>0</c:v>
                </c:pt>
              </c:numCache>
            </c:numRef>
          </c:val>
        </c:ser>
        <c:gapWidth val="60"/>
        <c:overlap val="0"/>
        <c:axId val="51882985"/>
        <c:axId val="5847271"/>
      </c:barChart>
      <c:catAx>
        <c:axId val="5188298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847271"/>
        <c:crosses val="autoZero"/>
        <c:auto val="1"/>
        <c:lblAlgn val="ctr"/>
        <c:lblOffset val="100"/>
        <c:noMultiLvlLbl val="0"/>
      </c:catAx>
      <c:valAx>
        <c:axId val="5847271"/>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1882985"/>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charts/chart8.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Occupational ill health</a:t>
            </a:r>
          </a:p>
        </c:rich>
      </c:tx>
      <c:overlay val="0"/>
      <c:spPr>
        <a:noFill/>
        <a:ln w="0">
          <a:noFill/>
        </a:ln>
      </c:spPr>
    </c:title>
    <c:autoTitleDeleted val="0"/>
    <c:plotArea>
      <c:barChart>
        <c:barDir val="col"/>
        <c:grouping val="clustered"/>
        <c:varyColors val="0"/>
        <c:ser>
          <c:idx val="0"/>
          <c:order val="0"/>
          <c:tx>
            <c:strRef>
              <c:f>Summary!I6</c:f>
              <c:strCache>
                <c:ptCount val="1"/>
                <c:pt idx="0">
                  <c:v>Occupational ill health</c:v>
                </c:pt>
              </c:strCache>
            </c:strRef>
          </c:tx>
          <c:spPr>
            <a:solidFill>
              <a:srgbClr val="6b4e8e"/>
            </a:solidFill>
            <a:ln w="9360">
              <a:solidFill>
                <a:srgbClr val="6b4e8e"/>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Summary!$A$7:$A$11</c:f>
              <c:strCache>
                <c:ptCount val="5"/>
                <c:pt idx="0">
                  <c:v>2022</c:v>
                </c:pt>
                <c:pt idx="1">
                  <c:v>2023</c:v>
                </c:pt>
                <c:pt idx="2">
                  <c:v>2024</c:v>
                </c:pt>
                <c:pt idx="3">
                  <c:v>2025</c:v>
                </c:pt>
                <c:pt idx="4">
                  <c:v>2026</c:v>
                </c:pt>
              </c:strCache>
            </c:strRef>
          </c:cat>
          <c:val>
            <c:numRef>
              <c:f>Summary!$I$7:$I$11</c:f>
              <c:numCache>
                <c:formatCode>General</c:formatCode>
                <c:ptCount val="5"/>
                <c:pt idx="0">
                  <c:v>0</c:v>
                </c:pt>
                <c:pt idx="1">
                  <c:v>0</c:v>
                </c:pt>
                <c:pt idx="2">
                  <c:v>0</c:v>
                </c:pt>
                <c:pt idx="3">
                  <c:v>0</c:v>
                </c:pt>
                <c:pt idx="4">
                  <c:v>0</c:v>
                </c:pt>
              </c:numCache>
            </c:numRef>
          </c:val>
        </c:ser>
        <c:gapWidth val="60"/>
        <c:overlap val="0"/>
        <c:axId val="92063024"/>
        <c:axId val="10000103"/>
      </c:barChart>
      <c:catAx>
        <c:axId val="9206302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000103"/>
        <c:crosses val="autoZero"/>
        <c:auto val="1"/>
        <c:lblAlgn val="ctr"/>
        <c:lblOffset val="100"/>
        <c:noMultiLvlLbl val="0"/>
      </c:catAx>
      <c:valAx>
        <c:axId val="10000103"/>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2063024"/>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 Id="rId6" Type="http://schemas.openxmlformats.org/officeDocument/2006/relationships/chart" Target="../charts/chart6.xml"/><Relationship Id="rId7" Type="http://schemas.openxmlformats.org/officeDocument/2006/relationships/chart" Target="../charts/chart7.xml"/><Relationship Id="rId8"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31</xdr:row>
      <xdr:rowOff>18720</xdr:rowOff>
    </xdr:from>
    <xdr:to>
      <xdr:col>3</xdr:col>
      <xdr:colOff>595080</xdr:colOff>
      <xdr:row>40</xdr:row>
      <xdr:rowOff>175680</xdr:rowOff>
    </xdr:to>
    <xdr:graphicFrame>
      <xdr:nvGraphicFramePr>
        <xdr:cNvPr id="0" name="Chart 1"/>
        <xdr:cNvGraphicFramePr/>
      </xdr:nvGraphicFramePr>
      <xdr:xfrm>
        <a:off x="0" y="7429680"/>
        <a:ext cx="3203640" cy="187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31</xdr:row>
      <xdr:rowOff>18720</xdr:rowOff>
    </xdr:from>
    <xdr:to>
      <xdr:col>7</xdr:col>
      <xdr:colOff>559440</xdr:colOff>
      <xdr:row>40</xdr:row>
      <xdr:rowOff>175680</xdr:rowOff>
    </xdr:to>
    <xdr:graphicFrame>
      <xdr:nvGraphicFramePr>
        <xdr:cNvPr id="1" name="Chart 2"/>
        <xdr:cNvGraphicFramePr/>
      </xdr:nvGraphicFramePr>
      <xdr:xfrm>
        <a:off x="3489840" y="7429680"/>
        <a:ext cx="3203640" cy="1871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8</xdr:col>
      <xdr:colOff>0</xdr:colOff>
      <xdr:row>31</xdr:row>
      <xdr:rowOff>18720</xdr:rowOff>
    </xdr:from>
    <xdr:to>
      <xdr:col>11</xdr:col>
      <xdr:colOff>559440</xdr:colOff>
      <xdr:row>40</xdr:row>
      <xdr:rowOff>175680</xdr:rowOff>
    </xdr:to>
    <xdr:graphicFrame>
      <xdr:nvGraphicFramePr>
        <xdr:cNvPr id="2" name="Chart 3"/>
        <xdr:cNvGraphicFramePr/>
      </xdr:nvGraphicFramePr>
      <xdr:xfrm>
        <a:off x="7015320" y="7429680"/>
        <a:ext cx="3203640" cy="1871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12</xdr:col>
      <xdr:colOff>0</xdr:colOff>
      <xdr:row>31</xdr:row>
      <xdr:rowOff>18720</xdr:rowOff>
    </xdr:from>
    <xdr:to>
      <xdr:col>15</xdr:col>
      <xdr:colOff>559800</xdr:colOff>
      <xdr:row>40</xdr:row>
      <xdr:rowOff>175680</xdr:rowOff>
    </xdr:to>
    <xdr:graphicFrame>
      <xdr:nvGraphicFramePr>
        <xdr:cNvPr id="3" name="Chart 4"/>
        <xdr:cNvGraphicFramePr/>
      </xdr:nvGraphicFramePr>
      <xdr:xfrm>
        <a:off x="10541160" y="7429680"/>
        <a:ext cx="3203640" cy="1871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43</xdr:row>
      <xdr:rowOff>18720</xdr:rowOff>
    </xdr:from>
    <xdr:to>
      <xdr:col>3</xdr:col>
      <xdr:colOff>595080</xdr:colOff>
      <xdr:row>52</xdr:row>
      <xdr:rowOff>175680</xdr:rowOff>
    </xdr:to>
    <xdr:graphicFrame>
      <xdr:nvGraphicFramePr>
        <xdr:cNvPr id="4" name="Chart 5"/>
        <xdr:cNvGraphicFramePr/>
      </xdr:nvGraphicFramePr>
      <xdr:xfrm>
        <a:off x="0" y="9715680"/>
        <a:ext cx="3203640" cy="187164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4</xdr:col>
      <xdr:colOff>0</xdr:colOff>
      <xdr:row>43</xdr:row>
      <xdr:rowOff>18720</xdr:rowOff>
    </xdr:from>
    <xdr:to>
      <xdr:col>7</xdr:col>
      <xdr:colOff>559440</xdr:colOff>
      <xdr:row>52</xdr:row>
      <xdr:rowOff>175680</xdr:rowOff>
    </xdr:to>
    <xdr:graphicFrame>
      <xdr:nvGraphicFramePr>
        <xdr:cNvPr id="5" name="Chart 6"/>
        <xdr:cNvGraphicFramePr/>
      </xdr:nvGraphicFramePr>
      <xdr:xfrm>
        <a:off x="3489840" y="9715680"/>
        <a:ext cx="3203640" cy="187164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8</xdr:col>
      <xdr:colOff>0</xdr:colOff>
      <xdr:row>43</xdr:row>
      <xdr:rowOff>18720</xdr:rowOff>
    </xdr:from>
    <xdr:to>
      <xdr:col>11</xdr:col>
      <xdr:colOff>559440</xdr:colOff>
      <xdr:row>52</xdr:row>
      <xdr:rowOff>175680</xdr:rowOff>
    </xdr:to>
    <xdr:graphicFrame>
      <xdr:nvGraphicFramePr>
        <xdr:cNvPr id="6" name="Chart 7"/>
        <xdr:cNvGraphicFramePr/>
      </xdr:nvGraphicFramePr>
      <xdr:xfrm>
        <a:off x="7015320" y="9715680"/>
        <a:ext cx="3203640" cy="187164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12</xdr:col>
      <xdr:colOff>0</xdr:colOff>
      <xdr:row>43</xdr:row>
      <xdr:rowOff>18720</xdr:rowOff>
    </xdr:from>
    <xdr:to>
      <xdr:col>15</xdr:col>
      <xdr:colOff>559800</xdr:colOff>
      <xdr:row>52</xdr:row>
      <xdr:rowOff>175680</xdr:rowOff>
    </xdr:to>
    <xdr:graphicFrame>
      <xdr:nvGraphicFramePr>
        <xdr:cNvPr id="7" name="Chart 8"/>
        <xdr:cNvGraphicFramePr/>
      </xdr:nvGraphicFramePr>
      <xdr:xfrm>
        <a:off x="10541160" y="9715680"/>
        <a:ext cx="3203640" cy="187164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7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110"/>
  </cols>
  <sheetData>
    <row r="1" customFormat="false" ht="15" hidden="false" customHeight="false" outlineLevel="0" collapsed="false">
      <c r="B1" s="1" t="s">
        <v>0</v>
      </c>
    </row>
    <row r="2" customFormat="false" ht="22.05" hidden="false" customHeight="false" outlineLevel="0" collapsed="false">
      <c r="B2" s="2" t="s">
        <v>1</v>
      </c>
    </row>
    <row r="3" customFormat="false" ht="15" hidden="false" customHeight="false" outlineLevel="0" collapsed="false">
      <c r="B3" s="3" t="s">
        <v>2</v>
      </c>
    </row>
    <row r="5" customFormat="false" ht="19.5" hidden="false" customHeight="true" outlineLevel="0" collapsed="false">
      <c r="B5" s="4" t="s">
        <v>3</v>
      </c>
      <c r="C5" s="5"/>
    </row>
    <row r="6" customFormat="false" ht="18.75" hidden="false" customHeight="true" outlineLevel="0" collapsed="false">
      <c r="B6" s="6" t="s">
        <v>4</v>
      </c>
      <c r="C6" s="7" t="s">
        <v>5</v>
      </c>
    </row>
    <row r="7" customFormat="false" ht="33" hidden="false" customHeight="true" outlineLevel="0" collapsed="false">
      <c r="B7" s="6" t="s">
        <v>6</v>
      </c>
      <c r="C7" s="8" t="n">
        <v>5</v>
      </c>
    </row>
    <row r="8" customFormat="false" ht="33" hidden="false" customHeight="true" outlineLevel="0" collapsed="false">
      <c r="B8" s="6" t="s">
        <v>7</v>
      </c>
      <c r="C8" s="8" t="n">
        <v>14</v>
      </c>
    </row>
    <row r="9" customFormat="false" ht="33" hidden="false" customHeight="true" outlineLevel="0" collapsed="false">
      <c r="B9" s="6"/>
      <c r="C9" s="9" t="s">
        <v>8</v>
      </c>
    </row>
    <row r="10" customFormat="false" ht="19.5" hidden="false" customHeight="true" outlineLevel="0" collapsed="false">
      <c r="B10" s="4" t="s">
        <v>9</v>
      </c>
      <c r="C10" s="5"/>
    </row>
    <row r="11" customFormat="false" ht="46.5" hidden="false" customHeight="true" outlineLevel="0" collapsed="false">
      <c r="B11" s="6" t="s">
        <v>10</v>
      </c>
      <c r="C11" s="10" t="s">
        <v>11</v>
      </c>
    </row>
    <row r="12" customFormat="false" ht="33" hidden="false" customHeight="true" outlineLevel="0" collapsed="false">
      <c r="B12" s="6" t="s">
        <v>12</v>
      </c>
      <c r="C12" s="10" t="s">
        <v>13</v>
      </c>
    </row>
    <row r="13" customFormat="false" ht="33" hidden="false" customHeight="true" outlineLevel="0" collapsed="false">
      <c r="B13" s="6" t="s">
        <v>14</v>
      </c>
      <c r="C13" s="10" t="s">
        <v>15</v>
      </c>
    </row>
    <row r="14" customFormat="false" ht="18.75" hidden="false" customHeight="true" outlineLevel="0" collapsed="false">
      <c r="B14" s="6" t="s">
        <v>16</v>
      </c>
      <c r="C14" s="10" t="s">
        <v>17</v>
      </c>
    </row>
    <row r="15" customFormat="false" ht="33" hidden="false" customHeight="true" outlineLevel="0" collapsed="false">
      <c r="B15" s="6" t="s">
        <v>18</v>
      </c>
      <c r="C15" s="10" t="s">
        <v>19</v>
      </c>
    </row>
    <row r="16" customFormat="false" ht="33" hidden="false" customHeight="true" outlineLevel="0" collapsed="false">
      <c r="B16" s="6" t="s">
        <v>20</v>
      </c>
      <c r="C16" s="10" t="s">
        <v>21</v>
      </c>
    </row>
    <row r="17" customFormat="false" ht="19.5" hidden="false" customHeight="true" outlineLevel="0" collapsed="false">
      <c r="B17" s="4" t="s">
        <v>22</v>
      </c>
      <c r="C17" s="5"/>
    </row>
    <row r="18" customFormat="false" ht="33" hidden="false" customHeight="true" outlineLevel="0" collapsed="false">
      <c r="B18" s="6" t="s">
        <v>23</v>
      </c>
      <c r="C18" s="10" t="s">
        <v>24</v>
      </c>
    </row>
    <row r="19" customFormat="false" ht="33" hidden="false" customHeight="true" outlineLevel="0" collapsed="false">
      <c r="B19" s="6" t="s">
        <v>25</v>
      </c>
      <c r="C19" s="10" t="s">
        <v>26</v>
      </c>
    </row>
    <row r="20" customFormat="false" ht="18.75" hidden="false" customHeight="true" outlineLevel="0" collapsed="false">
      <c r="B20" s="11" t="s">
        <v>27</v>
      </c>
      <c r="C20" s="12" t="s">
        <v>28</v>
      </c>
    </row>
    <row r="21" customFormat="false" ht="33" hidden="false" customHeight="true" outlineLevel="0" collapsed="false">
      <c r="B21" s="6" t="s">
        <v>29</v>
      </c>
      <c r="C21" s="10" t="s">
        <v>30</v>
      </c>
    </row>
    <row r="22" customFormat="false" ht="33" hidden="false" customHeight="true" outlineLevel="0" collapsed="false">
      <c r="B22" s="6" t="s">
        <v>31</v>
      </c>
      <c r="C22" s="10" t="s">
        <v>32</v>
      </c>
    </row>
    <row r="23" customFormat="false" ht="33" hidden="false" customHeight="true" outlineLevel="0" collapsed="false">
      <c r="B23" s="6" t="s">
        <v>33</v>
      </c>
      <c r="C23" s="10" t="s">
        <v>34</v>
      </c>
    </row>
    <row r="24" customFormat="false" ht="33" hidden="false" customHeight="true" outlineLevel="0" collapsed="false">
      <c r="B24" s="6" t="s">
        <v>35</v>
      </c>
      <c r="C24" s="10" t="s">
        <v>36</v>
      </c>
    </row>
    <row r="25" customFormat="false" ht="19.5" hidden="false" customHeight="true" outlineLevel="0" collapsed="false">
      <c r="B25" s="4" t="s">
        <v>37</v>
      </c>
      <c r="C25" s="5"/>
    </row>
    <row r="26" customFormat="false" ht="33" hidden="false" customHeight="true" outlineLevel="0" collapsed="false">
      <c r="B26" s="6" t="s">
        <v>38</v>
      </c>
      <c r="C26" s="10" t="s">
        <v>39</v>
      </c>
    </row>
    <row r="27" customFormat="false" ht="33" hidden="false" customHeight="true" outlineLevel="0" collapsed="false">
      <c r="B27" s="6" t="s">
        <v>40</v>
      </c>
      <c r="C27" s="10" t="s">
        <v>41</v>
      </c>
    </row>
    <row r="28" customFormat="false" ht="33" hidden="false" customHeight="true" outlineLevel="0" collapsed="false">
      <c r="B28" s="6" t="s">
        <v>42</v>
      </c>
      <c r="C28" s="10" t="s">
        <v>43</v>
      </c>
    </row>
    <row r="29" customFormat="false" ht="33" hidden="false" customHeight="true" outlineLevel="0" collapsed="false">
      <c r="B29" s="6" t="s">
        <v>44</v>
      </c>
      <c r="C29" s="10" t="s">
        <v>45</v>
      </c>
    </row>
    <row r="30" customFormat="false" ht="33" hidden="false" customHeight="true" outlineLevel="0" collapsed="false">
      <c r="B30" s="6" t="s">
        <v>46</v>
      </c>
      <c r="C30" s="10" t="s">
        <v>47</v>
      </c>
    </row>
    <row r="31" customFormat="false" ht="33" hidden="false" customHeight="true" outlineLevel="0" collapsed="false">
      <c r="B31" s="6" t="s">
        <v>48</v>
      </c>
      <c r="C31" s="10" t="s">
        <v>49</v>
      </c>
    </row>
    <row r="32" customFormat="false" ht="33" hidden="false" customHeight="true" outlineLevel="0" collapsed="false">
      <c r="B32" s="6" t="s">
        <v>50</v>
      </c>
      <c r="C32" s="13" t="s">
        <v>51</v>
      </c>
    </row>
    <row r="33" customFormat="false" ht="19.5" hidden="false" customHeight="true" outlineLevel="0" collapsed="false">
      <c r="B33" s="4" t="s">
        <v>52</v>
      </c>
      <c r="C33" s="5"/>
    </row>
    <row r="34" customFormat="false" ht="33" hidden="false" customHeight="true" outlineLevel="0" collapsed="false">
      <c r="B34" s="6" t="s">
        <v>53</v>
      </c>
      <c r="C34" s="10" t="s">
        <v>54</v>
      </c>
    </row>
    <row r="35" customFormat="false" ht="33" hidden="false" customHeight="true" outlineLevel="0" collapsed="false">
      <c r="B35" s="6" t="s">
        <v>55</v>
      </c>
      <c r="C35" s="10" t="s">
        <v>56</v>
      </c>
    </row>
    <row r="36" customFormat="false" ht="33" hidden="false" customHeight="true" outlineLevel="0" collapsed="false">
      <c r="B36" s="6" t="s">
        <v>57</v>
      </c>
      <c r="C36" s="10" t="s">
        <v>58</v>
      </c>
    </row>
    <row r="37" customFormat="false" ht="19.5" hidden="false" customHeight="true" outlineLevel="0" collapsed="false">
      <c r="B37" s="4" t="s">
        <v>59</v>
      </c>
      <c r="C37" s="5"/>
    </row>
    <row r="38" customFormat="false" ht="33" hidden="false" customHeight="true" outlineLevel="0" collapsed="false">
      <c r="B38" s="6" t="s">
        <v>60</v>
      </c>
      <c r="C38" s="10" t="s">
        <v>61</v>
      </c>
    </row>
    <row r="39" customFormat="false" ht="46.5" hidden="false" customHeight="true" outlineLevel="0" collapsed="false">
      <c r="B39" s="6" t="s">
        <v>62</v>
      </c>
      <c r="C39" s="10" t="s">
        <v>63</v>
      </c>
    </row>
    <row r="40" customFormat="false" ht="18.75" hidden="false" customHeight="true" outlineLevel="0" collapsed="false">
      <c r="B40" s="6" t="s">
        <v>64</v>
      </c>
      <c r="C40" s="10" t="s">
        <v>65</v>
      </c>
    </row>
    <row r="41" customFormat="false" ht="33" hidden="false" customHeight="true" outlineLevel="0" collapsed="false">
      <c r="B41" s="6" t="s">
        <v>66</v>
      </c>
      <c r="C41" s="10" t="s">
        <v>67</v>
      </c>
    </row>
    <row r="42" customFormat="false" ht="33" hidden="false" customHeight="true" outlineLevel="0" collapsed="false">
      <c r="B42" s="6" t="s">
        <v>68</v>
      </c>
      <c r="C42" s="10" t="s">
        <v>69</v>
      </c>
    </row>
    <row r="43" customFormat="false" ht="33" hidden="false" customHeight="true" outlineLevel="0" collapsed="false">
      <c r="B43" s="6" t="s">
        <v>70</v>
      </c>
      <c r="C43" s="10" t="s">
        <v>71</v>
      </c>
    </row>
    <row r="44" customFormat="false" ht="46.5" hidden="false" customHeight="true" outlineLevel="0" collapsed="false">
      <c r="B44" s="6" t="s">
        <v>72</v>
      </c>
      <c r="C44" s="10" t="s">
        <v>73</v>
      </c>
    </row>
    <row r="45" customFormat="false" ht="33" hidden="false" customHeight="true" outlineLevel="0" collapsed="false">
      <c r="B45" s="6" t="s">
        <v>74</v>
      </c>
      <c r="C45" s="10" t="s">
        <v>75</v>
      </c>
    </row>
    <row r="46" customFormat="false" ht="33" hidden="false" customHeight="true" outlineLevel="0" collapsed="false">
      <c r="B46" s="6" t="s">
        <v>76</v>
      </c>
      <c r="C46" s="10" t="s">
        <v>77</v>
      </c>
    </row>
    <row r="47" customFormat="false" ht="33" hidden="false" customHeight="true" outlineLevel="0" collapsed="false">
      <c r="B47" s="6" t="s">
        <v>78</v>
      </c>
      <c r="C47" s="10" t="s">
        <v>79</v>
      </c>
    </row>
    <row r="48" customFormat="false" ht="19.5" hidden="false" customHeight="true" outlineLevel="0" collapsed="false">
      <c r="B48" s="4" t="s">
        <v>80</v>
      </c>
      <c r="C48" s="5"/>
    </row>
    <row r="49" customFormat="false" ht="33" hidden="false" customHeight="true" outlineLevel="0" collapsed="false">
      <c r="B49" s="6" t="s">
        <v>81</v>
      </c>
      <c r="C49" s="10" t="s">
        <v>82</v>
      </c>
    </row>
    <row r="50" customFormat="false" ht="18.75" hidden="false" customHeight="true" outlineLevel="0" collapsed="false">
      <c r="B50" s="6" t="s">
        <v>83</v>
      </c>
      <c r="C50" s="10" t="s">
        <v>84</v>
      </c>
    </row>
    <row r="51" customFormat="false" ht="18.75" hidden="false" customHeight="true" outlineLevel="0" collapsed="false">
      <c r="B51" s="6" t="s">
        <v>85</v>
      </c>
      <c r="C51" s="10" t="s">
        <v>86</v>
      </c>
    </row>
    <row r="52" customFormat="false" ht="33" hidden="false" customHeight="true" outlineLevel="0" collapsed="false">
      <c r="B52" s="6" t="s">
        <v>87</v>
      </c>
      <c r="C52" s="10" t="s">
        <v>88</v>
      </c>
    </row>
    <row r="53" customFormat="false" ht="33" hidden="false" customHeight="true" outlineLevel="0" collapsed="false">
      <c r="B53" s="6" t="s">
        <v>89</v>
      </c>
      <c r="C53" s="10" t="s">
        <v>90</v>
      </c>
    </row>
    <row r="54" customFormat="false" ht="19.5" hidden="false" customHeight="true" outlineLevel="0" collapsed="false">
      <c r="B54" s="4" t="s">
        <v>91</v>
      </c>
      <c r="C54" s="5"/>
    </row>
    <row r="55" customFormat="false" ht="18.75" hidden="false" customHeight="true" outlineLevel="0" collapsed="false">
      <c r="B55" s="14" t="s">
        <v>92</v>
      </c>
      <c r="C55" s="10" t="s">
        <v>93</v>
      </c>
    </row>
    <row r="56" customFormat="false" ht="18.75" hidden="false" customHeight="true" outlineLevel="0" collapsed="false">
      <c r="B56" s="6" t="s">
        <v>94</v>
      </c>
      <c r="C56" s="10" t="s">
        <v>95</v>
      </c>
    </row>
    <row r="57" customFormat="false" ht="18.75" hidden="false" customHeight="true" outlineLevel="0" collapsed="false">
      <c r="B57" s="15" t="s">
        <v>96</v>
      </c>
      <c r="C57" s="10" t="s">
        <v>97</v>
      </c>
    </row>
    <row r="58" customFormat="false" ht="18.75" hidden="false" customHeight="true" outlineLevel="0" collapsed="false">
      <c r="B58" s="16" t="s">
        <v>98</v>
      </c>
      <c r="C58" s="10" t="s">
        <v>99</v>
      </c>
    </row>
    <row r="59" customFormat="false" ht="18.75" hidden="false" customHeight="true" outlineLevel="0" collapsed="false">
      <c r="B59" s="17" t="s">
        <v>100</v>
      </c>
      <c r="C59" s="10" t="s">
        <v>101</v>
      </c>
    </row>
    <row r="60" customFormat="false" ht="18.75" hidden="false" customHeight="true" outlineLevel="0" collapsed="false">
      <c r="B60" s="18" t="s">
        <v>102</v>
      </c>
      <c r="C60" s="10" t="s">
        <v>103</v>
      </c>
    </row>
    <row r="61" customFormat="false" ht="19.5" hidden="false" customHeight="true" outlineLevel="0" collapsed="false">
      <c r="B61" s="4" t="s">
        <v>104</v>
      </c>
      <c r="C61" s="5"/>
    </row>
    <row r="62" customFormat="false" ht="46.5" hidden="false" customHeight="true" outlineLevel="0" collapsed="false">
      <c r="B62" s="6" t="s">
        <v>105</v>
      </c>
      <c r="C62" s="10" t="s">
        <v>106</v>
      </c>
    </row>
    <row r="63" customFormat="false" ht="33" hidden="false" customHeight="true" outlineLevel="0" collapsed="false">
      <c r="B63" s="6" t="s">
        <v>107</v>
      </c>
      <c r="C63" s="10" t="s">
        <v>108</v>
      </c>
    </row>
    <row r="64" customFormat="false" ht="33" hidden="false" customHeight="true" outlineLevel="0" collapsed="false">
      <c r="B64" s="6" t="s">
        <v>109</v>
      </c>
      <c r="C64" s="10" t="s">
        <v>110</v>
      </c>
    </row>
    <row r="65" customFormat="false" ht="33" hidden="false" customHeight="true" outlineLevel="0" collapsed="false">
      <c r="B65" s="6" t="s">
        <v>111</v>
      </c>
      <c r="C65" s="10" t="s">
        <v>112</v>
      </c>
    </row>
    <row r="66" customFormat="false" ht="46.5" hidden="false" customHeight="true" outlineLevel="0" collapsed="false">
      <c r="B66" s="6" t="s">
        <v>113</v>
      </c>
      <c r="C66" s="10" t="s">
        <v>114</v>
      </c>
    </row>
    <row r="67" customFormat="false" ht="19.5" hidden="false" customHeight="true" outlineLevel="0" collapsed="false">
      <c r="B67" s="4" t="s">
        <v>115</v>
      </c>
      <c r="C67" s="5"/>
    </row>
    <row r="68" customFormat="false" ht="46.5" hidden="false" customHeight="true" outlineLevel="0" collapsed="false">
      <c r="B68" s="6" t="s">
        <v>116</v>
      </c>
      <c r="C68" s="10" t="s">
        <v>117</v>
      </c>
    </row>
    <row r="69" customFormat="false" ht="46.5" hidden="false" customHeight="true" outlineLevel="0" collapsed="false">
      <c r="B69" s="6" t="s">
        <v>118</v>
      </c>
      <c r="C69" s="10" t="s">
        <v>119</v>
      </c>
    </row>
    <row r="70" customFormat="false" ht="46.5" hidden="false" customHeight="true" outlineLevel="0" collapsed="false">
      <c r="B70" s="6" t="s">
        <v>120</v>
      </c>
      <c r="C70" s="10" t="s">
        <v>121</v>
      </c>
    </row>
    <row r="71" customFormat="false" ht="19.5" hidden="false" customHeight="true" outlineLevel="0" collapsed="false">
      <c r="B71" s="4" t="s">
        <v>122</v>
      </c>
      <c r="C71" s="5"/>
    </row>
    <row r="72" customFormat="false" ht="18.75" hidden="false" customHeight="true" outlineLevel="0" collapsed="false">
      <c r="B72" s="6" t="s">
        <v>123</v>
      </c>
      <c r="C72" s="10" t="s">
        <v>124</v>
      </c>
    </row>
    <row r="73" customFormat="false" ht="46.5" hidden="false" customHeight="true" outlineLevel="0" collapsed="false">
      <c r="B73" s="6" t="s">
        <v>125</v>
      </c>
      <c r="C73" s="10" t="s">
        <v>126</v>
      </c>
    </row>
    <row r="74" customFormat="false" ht="60.75" hidden="false" customHeight="true" outlineLevel="0" collapsed="false">
      <c r="B74" s="6" t="s">
        <v>127</v>
      </c>
      <c r="C74" s="10" t="s">
        <v>128</v>
      </c>
    </row>
    <row r="75" customFormat="false" ht="18.75" hidden="false" customHeight="true" outlineLevel="0" collapsed="false">
      <c r="B75" s="6" t="s">
        <v>129</v>
      </c>
      <c r="C75" s="10" t="s">
        <v>130</v>
      </c>
    </row>
    <row r="76" customFormat="false" ht="60.75" hidden="false" customHeight="true" outlineLevel="0" collapsed="false">
      <c r="B76" s="6" t="s">
        <v>131</v>
      </c>
      <c r="C76" s="10" t="s">
        <v>132</v>
      </c>
    </row>
    <row r="77" customFormat="false" ht="18.75" hidden="false" customHeight="true" outlineLevel="0" collapsed="false">
      <c r="B77" s="19" t="s">
        <v>133</v>
      </c>
      <c r="C77" s="20" t="s">
        <v>134</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&amp;L&amp;"Aptos,Regular"&amp;8[COMPANY NAME] – Incident, Accident and Near Miss Register – ARB-INC-01 – Version 2.0&amp;R&amp;"Aptos,Regular"&amp;8Page &amp;P of &amp;N  ·  Not controlled when printed</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3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6"/>
    <col collapsed="false" customWidth="true" hidden="false" outlineLevel="0" max="3" min="3" style="0" width="11"/>
    <col collapsed="false" customWidth="true" hidden="false" outlineLevel="0" max="4" min="4" style="0" width="7"/>
    <col collapsed="false" customWidth="true" hidden="false" outlineLevel="0" max="5" min="5" style="0" width="11"/>
    <col collapsed="false" customWidth="true" hidden="false" outlineLevel="0" max="6" min="6" style="0" width="14"/>
    <col collapsed="false" customWidth="true" hidden="false" outlineLevel="0" max="7" min="7" style="0" width="18"/>
    <col collapsed="false" customWidth="true" hidden="false" outlineLevel="0" max="8" min="8" style="0" width="10"/>
    <col collapsed="false" customWidth="true" hidden="false" outlineLevel="0" max="9" min="9" style="0" width="15"/>
    <col collapsed="false" customWidth="true" hidden="false" outlineLevel="0" max="10" min="10" style="0" width="20"/>
    <col collapsed="false" customWidth="true" hidden="false" outlineLevel="0" max="11" min="11" style="0" width="34"/>
    <col collapsed="false" customWidth="true" hidden="false" outlineLevel="0" max="12" min="12" style="0" width="16"/>
    <col collapsed="false" customWidth="true" hidden="false" outlineLevel="0" max="13" min="13" style="0" width="14"/>
    <col collapsed="false" customWidth="true" hidden="false" outlineLevel="0" max="14" min="14" style="0" width="13"/>
    <col collapsed="false" customWidth="true" hidden="false" outlineLevel="0" max="16" min="15" style="0" width="17"/>
    <col collapsed="false" customWidth="true" hidden="false" outlineLevel="0" max="18" min="17" style="0" width="11"/>
    <col collapsed="false" customWidth="true" hidden="false" outlineLevel="0" max="19" min="19" style="0" width="18"/>
    <col collapsed="false" customWidth="true" hidden="false" outlineLevel="0" max="21" min="20" style="0" width="11"/>
    <col collapsed="false" customWidth="true" hidden="false" outlineLevel="0" max="22" min="22" style="0" width="18"/>
    <col collapsed="false" customWidth="true" hidden="false" outlineLevel="0" max="23" min="23" style="0" width="11"/>
    <col collapsed="false" customWidth="true" hidden="false" outlineLevel="0" max="24" min="24" style="0" width="14"/>
    <col collapsed="false" customWidth="true" hidden="false" outlineLevel="0" max="25" min="25" style="0" width="12"/>
    <col collapsed="false" customWidth="true" hidden="false" outlineLevel="0" max="26" min="26" style="0" width="26"/>
    <col collapsed="false" customWidth="true" hidden="false" outlineLevel="0" max="27" min="27" style="0" width="10"/>
    <col collapsed="false" customWidth="true" hidden="false" outlineLevel="0" max="28" min="28" style="0" width="20"/>
    <col collapsed="false" customWidth="true" hidden="false" outlineLevel="0" max="29" min="29" style="0" width="24"/>
    <col collapsed="false" customWidth="true" hidden="false" outlineLevel="0" max="31" min="30" style="0" width="26"/>
    <col collapsed="false" customWidth="true" hidden="false" outlineLevel="0" max="32" min="32" style="0" width="14"/>
    <col collapsed="false" customWidth="true" hidden="false" outlineLevel="0" max="33" min="33" style="0" width="11"/>
    <col collapsed="false" customWidth="true" hidden="false" outlineLevel="0" max="34" min="34" style="0" width="15"/>
    <col collapsed="false" customWidth="true" hidden="false" outlineLevel="0" max="36" min="35" style="0" width="12"/>
    <col collapsed="false" customWidth="true" hidden="false" outlineLevel="0" max="37" min="37" style="0" width="14"/>
    <col collapsed="false" customWidth="true" hidden="false" outlineLevel="0" max="38" min="38" style="0" width="11"/>
    <col collapsed="false" customWidth="true" hidden="true" outlineLevel="0" max="39" min="39" style="0" width="6"/>
  </cols>
  <sheetData>
    <row r="1" customFormat="false" ht="19.7" hidden="false" customHeight="false" outlineLevel="0" collapsed="false">
      <c r="A1" s="21" t="s">
        <v>0</v>
      </c>
      <c r="B1" s="21"/>
      <c r="C1" s="21"/>
      <c r="D1" s="22" t="str">
        <f aca="false">'Start here'!$C$6&amp;"  –  INCIDENT, ACCIDENT AND NEAR MISS LOG"</f>
        <v>[COMPANY NAME]  –  INCIDENT, ACCIDENT AND NEAR MISS LOG</v>
      </c>
      <c r="E1" s="22"/>
      <c r="F1" s="22"/>
      <c r="G1" s="22"/>
      <c r="H1" s="22"/>
      <c r="I1" s="22"/>
      <c r="J1" s="22"/>
      <c r="K1" s="22"/>
      <c r="L1" s="22"/>
      <c r="M1" s="22"/>
      <c r="N1" s="22"/>
      <c r="O1" s="22"/>
      <c r="P1" s="22"/>
    </row>
    <row r="2" customFormat="false" ht="15" hidden="false" customHeight="false" outlineLevel="0" collapsed="false">
      <c r="A2" s="23" t="s">
        <v>135</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row>
    <row r="3" customFormat="false" ht="18" hidden="false" customHeight="true" outlineLevel="0" collapsed="false">
      <c r="A3" s="24" t="s">
        <v>136</v>
      </c>
      <c r="B3" s="24"/>
      <c r="C3" s="24"/>
      <c r="D3" s="24"/>
      <c r="E3" s="24"/>
      <c r="F3" s="24"/>
      <c r="G3" s="24"/>
      <c r="H3" s="24"/>
      <c r="I3" s="24"/>
      <c r="J3" s="24"/>
      <c r="K3" s="24"/>
      <c r="L3" s="24" t="s">
        <v>137</v>
      </c>
      <c r="M3" s="24"/>
      <c r="N3" s="24"/>
      <c r="O3" s="24"/>
      <c r="P3" s="24"/>
      <c r="Q3" s="24"/>
      <c r="R3" s="24"/>
      <c r="S3" s="24" t="s">
        <v>138</v>
      </c>
      <c r="T3" s="24"/>
      <c r="U3" s="24"/>
      <c r="V3" s="24"/>
      <c r="W3" s="24"/>
      <c r="X3" s="24"/>
      <c r="Y3" s="24" t="s">
        <v>139</v>
      </c>
      <c r="Z3" s="24"/>
      <c r="AA3" s="24"/>
      <c r="AB3" s="24"/>
      <c r="AC3" s="24"/>
      <c r="AD3" s="24"/>
      <c r="AE3" s="24"/>
      <c r="AF3" s="24"/>
      <c r="AG3" s="24"/>
      <c r="AH3" s="24"/>
      <c r="AI3" s="24"/>
      <c r="AJ3" s="24"/>
      <c r="AK3" s="24" t="s">
        <v>140</v>
      </c>
      <c r="AL3" s="24"/>
    </row>
    <row r="4" customFormat="false" ht="57.75" hidden="false" customHeight="true" outlineLevel="0" collapsed="false">
      <c r="A4" s="25" t="s">
        <v>141</v>
      </c>
      <c r="B4" s="25" t="s">
        <v>142</v>
      </c>
      <c r="C4" s="25" t="s">
        <v>143</v>
      </c>
      <c r="D4" s="25" t="s">
        <v>144</v>
      </c>
      <c r="E4" s="25" t="s">
        <v>145</v>
      </c>
      <c r="F4" s="25" t="s">
        <v>146</v>
      </c>
      <c r="G4" s="25" t="s">
        <v>147</v>
      </c>
      <c r="H4" s="25" t="s">
        <v>148</v>
      </c>
      <c r="I4" s="25" t="s">
        <v>149</v>
      </c>
      <c r="J4" s="25" t="s">
        <v>150</v>
      </c>
      <c r="K4" s="25" t="s">
        <v>151</v>
      </c>
      <c r="L4" s="25" t="s">
        <v>152</v>
      </c>
      <c r="M4" s="25" t="s">
        <v>153</v>
      </c>
      <c r="N4" s="25" t="s">
        <v>154</v>
      </c>
      <c r="O4" s="25" t="s">
        <v>155</v>
      </c>
      <c r="P4" s="25" t="s">
        <v>156</v>
      </c>
      <c r="Q4" s="25" t="s">
        <v>157</v>
      </c>
      <c r="R4" s="25" t="s">
        <v>158</v>
      </c>
      <c r="S4" s="25" t="s">
        <v>159</v>
      </c>
      <c r="T4" s="25" t="s">
        <v>160</v>
      </c>
      <c r="U4" s="25" t="s">
        <v>161</v>
      </c>
      <c r="V4" s="25" t="s">
        <v>162</v>
      </c>
      <c r="W4" s="25" t="s">
        <v>163</v>
      </c>
      <c r="X4" s="25" t="s">
        <v>164</v>
      </c>
      <c r="Y4" s="25" t="s">
        <v>165</v>
      </c>
      <c r="Z4" s="25" t="s">
        <v>166</v>
      </c>
      <c r="AA4" s="25" t="s">
        <v>167</v>
      </c>
      <c r="AB4" s="25" t="s">
        <v>168</v>
      </c>
      <c r="AC4" s="25" t="s">
        <v>169</v>
      </c>
      <c r="AD4" s="25" t="s">
        <v>170</v>
      </c>
      <c r="AE4" s="25" t="s">
        <v>171</v>
      </c>
      <c r="AF4" s="25" t="s">
        <v>172</v>
      </c>
      <c r="AG4" s="25" t="s">
        <v>173</v>
      </c>
      <c r="AH4" s="25" t="s">
        <v>174</v>
      </c>
      <c r="AI4" s="25" t="s">
        <v>175</v>
      </c>
      <c r="AJ4" s="25" t="s">
        <v>176</v>
      </c>
      <c r="AK4" s="25" t="s">
        <v>177</v>
      </c>
      <c r="AL4" s="25" t="s">
        <v>178</v>
      </c>
      <c r="AM4" s="25" t="s">
        <v>179</v>
      </c>
    </row>
    <row r="5" customFormat="false" ht="96" hidden="false" customHeight="true" outlineLevel="0" collapsed="false">
      <c r="A5" s="26" t="s">
        <v>180</v>
      </c>
      <c r="B5" s="27" t="s">
        <v>181</v>
      </c>
      <c r="C5" s="27" t="s">
        <v>182</v>
      </c>
      <c r="D5" s="27" t="s">
        <v>183</v>
      </c>
      <c r="E5" s="27" t="s">
        <v>184</v>
      </c>
      <c r="F5" s="27" t="s">
        <v>185</v>
      </c>
      <c r="G5" s="27" t="s">
        <v>186</v>
      </c>
      <c r="H5" s="27" t="s">
        <v>187</v>
      </c>
      <c r="I5" s="27" t="s">
        <v>188</v>
      </c>
      <c r="J5" s="27" t="s">
        <v>189</v>
      </c>
      <c r="K5" s="27" t="s">
        <v>190</v>
      </c>
      <c r="L5" s="27" t="s">
        <v>191</v>
      </c>
      <c r="M5" s="27" t="s">
        <v>192</v>
      </c>
      <c r="N5" s="27" t="s">
        <v>193</v>
      </c>
      <c r="O5" s="27" t="s">
        <v>189</v>
      </c>
      <c r="P5" s="27" t="s">
        <v>194</v>
      </c>
      <c r="Q5" s="27" t="s">
        <v>195</v>
      </c>
      <c r="R5" s="27" t="s">
        <v>196</v>
      </c>
      <c r="S5" s="27" t="s">
        <v>197</v>
      </c>
      <c r="T5" s="26" t="s">
        <v>198</v>
      </c>
      <c r="U5" s="26" t="s">
        <v>199</v>
      </c>
      <c r="V5" s="26" t="s">
        <v>200</v>
      </c>
      <c r="W5" s="27" t="s">
        <v>201</v>
      </c>
      <c r="X5" s="27" t="s">
        <v>202</v>
      </c>
      <c r="Y5" s="27" t="s">
        <v>203</v>
      </c>
      <c r="Z5" s="27" t="s">
        <v>204</v>
      </c>
      <c r="AA5" s="27" t="s">
        <v>205</v>
      </c>
      <c r="AB5" s="27" t="s">
        <v>206</v>
      </c>
      <c r="AC5" s="27" t="s">
        <v>207</v>
      </c>
      <c r="AD5" s="27" t="s">
        <v>208</v>
      </c>
      <c r="AE5" s="27" t="s">
        <v>209</v>
      </c>
      <c r="AF5" s="27" t="s">
        <v>210</v>
      </c>
      <c r="AG5" s="27" t="s">
        <v>211</v>
      </c>
      <c r="AH5" s="27" t="s">
        <v>212</v>
      </c>
      <c r="AI5" s="26" t="s">
        <v>213</v>
      </c>
      <c r="AJ5" s="27" t="s">
        <v>214</v>
      </c>
      <c r="AK5" s="27" t="s">
        <v>215</v>
      </c>
      <c r="AL5" s="27" t="s">
        <v>216</v>
      </c>
      <c r="AM5" s="26" t="s">
        <v>217</v>
      </c>
    </row>
    <row r="6" customFormat="false" ht="30" hidden="false" customHeight="true" outlineLevel="0" collapsed="false">
      <c r="A6" s="28" t="str">
        <f aca="false">IF(C6="","","INC-"&amp;YEAR(C6)&amp;"-"&amp;TEXT(COUNTIFS($C$6:C6,"&gt;="&amp;DATE(YEAR(C6),1,1),$C$6:C6,"&lt;="&amp;DATE(YEAR(C6),12,31)),"000"))</f>
        <v/>
      </c>
      <c r="B6" s="29"/>
      <c r="C6" s="30"/>
      <c r="D6" s="31"/>
      <c r="E6" s="30"/>
      <c r="F6" s="29"/>
      <c r="G6" s="29"/>
      <c r="H6" s="29"/>
      <c r="I6" s="29"/>
      <c r="J6" s="29"/>
      <c r="K6" s="29"/>
      <c r="L6" s="29"/>
      <c r="M6" s="29"/>
      <c r="N6" s="29"/>
      <c r="O6" s="29"/>
      <c r="P6" s="29"/>
      <c r="Q6" s="32"/>
      <c r="R6" s="29"/>
      <c r="S6" s="29"/>
      <c r="T6" s="33" t="str">
        <f aca="false">IF(AH6="Void – logged in error","",IF(OR(C6="",S6=""),IF(C6="","","Decide"),IF(OR(S6="Not reportable",S6="Over-3-day injury (record only)"),"No","Yes")))</f>
        <v/>
      </c>
      <c r="U6" s="34" t="str">
        <f aca="false">IF(OR(C6="",S6=""),"",IF(S6="Over-7-day injury",C6+15,IF(OR(S6="Death",S6="Specified injury",S6="Member of public to hospital",S6="Dangerous occurrence"),C6+10,"")))</f>
        <v/>
      </c>
      <c r="V6" s="28" t="str">
        <f aca="true">IF(C6="","",IF(AH6="Void – logged in error","Void",IF(W6&lt;&gt;"","Done – reported",IF(S6="Occupational disease","REPORT NOW – on diagnosis",IF(ISNUMBER(U6),IF(U6&lt;TODAY(),"OVERDUE – report now",IF(U6=TODAY(),"DUE TODAY",IF(U6-TODAY()&lt;='Start here'!$C$7,"DUE in "&amp;(U6-TODAY())&amp;" days",IF(OR(S6="Death",S6="Specified injury",S6="Member of public to hospital",S6="Dangerous occurrence"),"REPORT without delay","Report by date shown")))),IF(AND(N(Q6)&gt;7,OR(S6="",S6="Not reportable",S6="Over-3-day injury (record only)")),"CHECK – over 7 days off",IF(S6="","Decide RIDDOR",IF(S6="Over-3-day injury (record only)","Record only","Not reportable"))))))))</f>
        <v/>
      </c>
      <c r="W6" s="30"/>
      <c r="X6" s="29"/>
      <c r="Y6" s="32"/>
      <c r="Z6" s="29"/>
      <c r="AA6" s="35"/>
      <c r="AB6" s="29"/>
      <c r="AC6" s="29"/>
      <c r="AD6" s="29"/>
      <c r="AE6" s="29"/>
      <c r="AF6" s="29"/>
      <c r="AG6" s="30"/>
      <c r="AH6" s="29"/>
      <c r="AI6" s="36" t="str">
        <f aca="true">IF(OR(C6="",AH6="Closed",AH6="Void – logged in error",AG6=""),"",IF(AG6&lt;TODAY(),"OVERDUE",IF(AG6-TODAY()&lt;='Start here'!$C$8,"Due soon","On track")))</f>
        <v/>
      </c>
      <c r="AJ6" s="29"/>
      <c r="AK6" s="29"/>
      <c r="AL6" s="30"/>
      <c r="AM6" s="37" t="str">
        <f aca="false">IF(AND(C6&lt;&gt;"",AH6&lt;&gt;"Closed",AH6&lt;&gt;"Void – logged in error",OR(AH6&lt;&gt;"",AD6&lt;&gt;"",AE6&lt;&gt;"",AF6&lt;&gt;"",AG6&lt;&gt;"")),ROW(),"")</f>
        <v/>
      </c>
    </row>
    <row r="7" customFormat="false" ht="30" hidden="false" customHeight="true" outlineLevel="0" collapsed="false">
      <c r="A7" s="28" t="str">
        <f aca="false">IF(C7="","","INC-"&amp;YEAR(C7)&amp;"-"&amp;TEXT(COUNTIFS($C$6:C7,"&gt;="&amp;DATE(YEAR(C7),1,1),$C$6:C7,"&lt;="&amp;DATE(YEAR(C7),12,31)),"000"))</f>
        <v/>
      </c>
      <c r="B7" s="29"/>
      <c r="C7" s="30"/>
      <c r="D7" s="31"/>
      <c r="E7" s="30"/>
      <c r="F7" s="29"/>
      <c r="G7" s="29"/>
      <c r="H7" s="29"/>
      <c r="I7" s="29"/>
      <c r="J7" s="29"/>
      <c r="K7" s="29"/>
      <c r="L7" s="29"/>
      <c r="M7" s="29"/>
      <c r="N7" s="29"/>
      <c r="O7" s="29"/>
      <c r="P7" s="29"/>
      <c r="Q7" s="32"/>
      <c r="R7" s="29"/>
      <c r="S7" s="29"/>
      <c r="T7" s="33" t="str">
        <f aca="false">IF(AH7="Void – logged in error","",IF(OR(C7="",S7=""),IF(C7="","","Decide"),IF(OR(S7="Not reportable",S7="Over-3-day injury (record only)"),"No","Yes")))</f>
        <v/>
      </c>
      <c r="U7" s="34" t="str">
        <f aca="false">IF(OR(C7="",S7=""),"",IF(S7="Over-7-day injury",C7+15,IF(OR(S7="Death",S7="Specified injury",S7="Member of public to hospital",S7="Dangerous occurrence"),C7+10,"")))</f>
        <v/>
      </c>
      <c r="V7" s="28" t="str">
        <f aca="true">IF(C7="","",IF(AH7="Void – logged in error","Void",IF(W7&lt;&gt;"","Done – reported",IF(S7="Occupational disease","REPORT NOW – on diagnosis",IF(ISNUMBER(U7),IF(U7&lt;TODAY(),"OVERDUE – report now",IF(U7=TODAY(),"DUE TODAY",IF(U7-TODAY()&lt;='Start here'!$C$7,"DUE in "&amp;(U7-TODAY())&amp;" days",IF(OR(S7="Death",S7="Specified injury",S7="Member of public to hospital",S7="Dangerous occurrence"),"REPORT without delay","Report by date shown")))),IF(AND(N(Q7)&gt;7,OR(S7="",S7="Not reportable",S7="Over-3-day injury (record only)")),"CHECK – over 7 days off",IF(S7="","Decide RIDDOR",IF(S7="Over-3-day injury (record only)","Record only","Not reportable"))))))))</f>
        <v/>
      </c>
      <c r="W7" s="30"/>
      <c r="X7" s="29"/>
      <c r="Y7" s="32"/>
      <c r="Z7" s="29"/>
      <c r="AA7" s="35"/>
      <c r="AB7" s="29"/>
      <c r="AC7" s="29"/>
      <c r="AD7" s="29"/>
      <c r="AE7" s="29"/>
      <c r="AF7" s="29"/>
      <c r="AG7" s="30"/>
      <c r="AH7" s="29"/>
      <c r="AI7" s="36" t="str">
        <f aca="true">IF(OR(C7="",AH7="Closed",AH7="Void – logged in error",AG7=""),"",IF(AG7&lt;TODAY(),"OVERDUE",IF(AG7-TODAY()&lt;='Start here'!$C$8,"Due soon","On track")))</f>
        <v/>
      </c>
      <c r="AJ7" s="29"/>
      <c r="AK7" s="29"/>
      <c r="AL7" s="30"/>
      <c r="AM7" s="37" t="str">
        <f aca="false">IF(AND(C7&lt;&gt;"",AH7&lt;&gt;"Closed",AH7&lt;&gt;"Void – logged in error",OR(AH7&lt;&gt;"",AD7&lt;&gt;"",AE7&lt;&gt;"",AF7&lt;&gt;"",AG7&lt;&gt;"")),ROW(),"")</f>
        <v/>
      </c>
    </row>
    <row r="8" customFormat="false" ht="30" hidden="false" customHeight="true" outlineLevel="0" collapsed="false">
      <c r="A8" s="28" t="str">
        <f aca="false">IF(C8="","","INC-"&amp;YEAR(C8)&amp;"-"&amp;TEXT(COUNTIFS($C$6:C8,"&gt;="&amp;DATE(YEAR(C8),1,1),$C$6:C8,"&lt;="&amp;DATE(YEAR(C8),12,31)),"000"))</f>
        <v/>
      </c>
      <c r="B8" s="29"/>
      <c r="C8" s="30"/>
      <c r="D8" s="31"/>
      <c r="E8" s="30"/>
      <c r="F8" s="29"/>
      <c r="G8" s="29"/>
      <c r="H8" s="29"/>
      <c r="I8" s="29"/>
      <c r="J8" s="29"/>
      <c r="K8" s="29"/>
      <c r="L8" s="29"/>
      <c r="M8" s="29"/>
      <c r="N8" s="29"/>
      <c r="O8" s="29"/>
      <c r="P8" s="29"/>
      <c r="Q8" s="32"/>
      <c r="R8" s="29"/>
      <c r="S8" s="29"/>
      <c r="T8" s="33" t="str">
        <f aca="false">IF(AH8="Void – logged in error","",IF(OR(C8="",S8=""),IF(C8="","","Decide"),IF(OR(S8="Not reportable",S8="Over-3-day injury (record only)"),"No","Yes")))</f>
        <v/>
      </c>
      <c r="U8" s="34" t="str">
        <f aca="false">IF(OR(C8="",S8=""),"",IF(S8="Over-7-day injury",C8+15,IF(OR(S8="Death",S8="Specified injury",S8="Member of public to hospital",S8="Dangerous occurrence"),C8+10,"")))</f>
        <v/>
      </c>
      <c r="V8" s="28" t="str">
        <f aca="true">IF(C8="","",IF(AH8="Void – logged in error","Void",IF(W8&lt;&gt;"","Done – reported",IF(S8="Occupational disease","REPORT NOW – on diagnosis",IF(ISNUMBER(U8),IF(U8&lt;TODAY(),"OVERDUE – report now",IF(U8=TODAY(),"DUE TODAY",IF(U8-TODAY()&lt;='Start here'!$C$7,"DUE in "&amp;(U8-TODAY())&amp;" days",IF(OR(S8="Death",S8="Specified injury",S8="Member of public to hospital",S8="Dangerous occurrence"),"REPORT without delay","Report by date shown")))),IF(AND(N(Q8)&gt;7,OR(S8="",S8="Not reportable",S8="Over-3-day injury (record only)")),"CHECK – over 7 days off",IF(S8="","Decide RIDDOR",IF(S8="Over-3-day injury (record only)","Record only","Not reportable"))))))))</f>
        <v/>
      </c>
      <c r="W8" s="30"/>
      <c r="X8" s="29"/>
      <c r="Y8" s="32"/>
      <c r="Z8" s="29"/>
      <c r="AA8" s="35"/>
      <c r="AB8" s="29"/>
      <c r="AC8" s="29"/>
      <c r="AD8" s="29"/>
      <c r="AE8" s="29"/>
      <c r="AF8" s="29"/>
      <c r="AG8" s="30"/>
      <c r="AH8" s="29"/>
      <c r="AI8" s="36" t="str">
        <f aca="true">IF(OR(C8="",AH8="Closed",AH8="Void – logged in error",AG8=""),"",IF(AG8&lt;TODAY(),"OVERDUE",IF(AG8-TODAY()&lt;='Start here'!$C$8,"Due soon","On track")))</f>
        <v/>
      </c>
      <c r="AJ8" s="29"/>
      <c r="AK8" s="29"/>
      <c r="AL8" s="30"/>
      <c r="AM8" s="37" t="str">
        <f aca="false">IF(AND(C8&lt;&gt;"",AH8&lt;&gt;"Closed",AH8&lt;&gt;"Void – logged in error",OR(AH8&lt;&gt;"",AD8&lt;&gt;"",AE8&lt;&gt;"",AF8&lt;&gt;"",AG8&lt;&gt;"")),ROW(),"")</f>
        <v/>
      </c>
    </row>
    <row r="9" customFormat="false" ht="30" hidden="false" customHeight="true" outlineLevel="0" collapsed="false">
      <c r="A9" s="28" t="str">
        <f aca="false">IF(C9="","","INC-"&amp;YEAR(C9)&amp;"-"&amp;TEXT(COUNTIFS($C$6:C9,"&gt;="&amp;DATE(YEAR(C9),1,1),$C$6:C9,"&lt;="&amp;DATE(YEAR(C9),12,31)),"000"))</f>
        <v/>
      </c>
      <c r="B9" s="29"/>
      <c r="C9" s="30"/>
      <c r="D9" s="31"/>
      <c r="E9" s="30"/>
      <c r="F9" s="29"/>
      <c r="G9" s="29"/>
      <c r="H9" s="29"/>
      <c r="I9" s="29"/>
      <c r="J9" s="29"/>
      <c r="K9" s="29"/>
      <c r="L9" s="29"/>
      <c r="M9" s="29"/>
      <c r="N9" s="29"/>
      <c r="O9" s="29"/>
      <c r="P9" s="29"/>
      <c r="Q9" s="32"/>
      <c r="R9" s="29"/>
      <c r="S9" s="29"/>
      <c r="T9" s="33" t="str">
        <f aca="false">IF(AH9="Void – logged in error","",IF(OR(C9="",S9=""),IF(C9="","","Decide"),IF(OR(S9="Not reportable",S9="Over-3-day injury (record only)"),"No","Yes")))</f>
        <v/>
      </c>
      <c r="U9" s="34" t="str">
        <f aca="false">IF(OR(C9="",S9=""),"",IF(S9="Over-7-day injury",C9+15,IF(OR(S9="Death",S9="Specified injury",S9="Member of public to hospital",S9="Dangerous occurrence"),C9+10,"")))</f>
        <v/>
      </c>
      <c r="V9" s="28" t="str">
        <f aca="true">IF(C9="","",IF(AH9="Void – logged in error","Void",IF(W9&lt;&gt;"","Done – reported",IF(S9="Occupational disease","REPORT NOW – on diagnosis",IF(ISNUMBER(U9),IF(U9&lt;TODAY(),"OVERDUE – report now",IF(U9=TODAY(),"DUE TODAY",IF(U9-TODAY()&lt;='Start here'!$C$7,"DUE in "&amp;(U9-TODAY())&amp;" days",IF(OR(S9="Death",S9="Specified injury",S9="Member of public to hospital",S9="Dangerous occurrence"),"REPORT without delay","Report by date shown")))),IF(AND(N(Q9)&gt;7,OR(S9="",S9="Not reportable",S9="Over-3-day injury (record only)")),"CHECK – over 7 days off",IF(S9="","Decide RIDDOR",IF(S9="Over-3-day injury (record only)","Record only","Not reportable"))))))))</f>
        <v/>
      </c>
      <c r="W9" s="30"/>
      <c r="X9" s="29"/>
      <c r="Y9" s="32"/>
      <c r="Z9" s="29"/>
      <c r="AA9" s="35"/>
      <c r="AB9" s="29"/>
      <c r="AC9" s="29"/>
      <c r="AD9" s="29"/>
      <c r="AE9" s="29"/>
      <c r="AF9" s="29"/>
      <c r="AG9" s="30"/>
      <c r="AH9" s="29"/>
      <c r="AI9" s="36" t="str">
        <f aca="true">IF(OR(C9="",AH9="Closed",AH9="Void – logged in error",AG9=""),"",IF(AG9&lt;TODAY(),"OVERDUE",IF(AG9-TODAY()&lt;='Start here'!$C$8,"Due soon","On track")))</f>
        <v/>
      </c>
      <c r="AJ9" s="29"/>
      <c r="AK9" s="29"/>
      <c r="AL9" s="30"/>
      <c r="AM9" s="37" t="str">
        <f aca="false">IF(AND(C9&lt;&gt;"",AH9&lt;&gt;"Closed",AH9&lt;&gt;"Void – logged in error",OR(AH9&lt;&gt;"",AD9&lt;&gt;"",AE9&lt;&gt;"",AF9&lt;&gt;"",AG9&lt;&gt;"")),ROW(),"")</f>
        <v/>
      </c>
    </row>
    <row r="10" customFormat="false" ht="30" hidden="false" customHeight="true" outlineLevel="0" collapsed="false">
      <c r="A10" s="28" t="str">
        <f aca="false">IF(C10="","","INC-"&amp;YEAR(C10)&amp;"-"&amp;TEXT(COUNTIFS($C$6:C10,"&gt;="&amp;DATE(YEAR(C10),1,1),$C$6:C10,"&lt;="&amp;DATE(YEAR(C10),12,31)),"000"))</f>
        <v/>
      </c>
      <c r="B10" s="29"/>
      <c r="C10" s="30"/>
      <c r="D10" s="31"/>
      <c r="E10" s="30"/>
      <c r="F10" s="29"/>
      <c r="G10" s="29"/>
      <c r="H10" s="29"/>
      <c r="I10" s="29"/>
      <c r="J10" s="29"/>
      <c r="K10" s="29"/>
      <c r="L10" s="29"/>
      <c r="M10" s="29"/>
      <c r="N10" s="29"/>
      <c r="O10" s="29"/>
      <c r="P10" s="29"/>
      <c r="Q10" s="32"/>
      <c r="R10" s="29"/>
      <c r="S10" s="29"/>
      <c r="T10" s="33" t="str">
        <f aca="false">IF(AH10="Void – logged in error","",IF(OR(C10="",S10=""),IF(C10="","","Decide"),IF(OR(S10="Not reportable",S10="Over-3-day injury (record only)"),"No","Yes")))</f>
        <v/>
      </c>
      <c r="U10" s="34" t="str">
        <f aca="false">IF(OR(C10="",S10=""),"",IF(S10="Over-7-day injury",C10+15,IF(OR(S10="Death",S10="Specified injury",S10="Member of public to hospital",S10="Dangerous occurrence"),C10+10,"")))</f>
        <v/>
      </c>
      <c r="V10" s="28" t="str">
        <f aca="true">IF(C10="","",IF(AH10="Void – logged in error","Void",IF(W10&lt;&gt;"","Done – reported",IF(S10="Occupational disease","REPORT NOW – on diagnosis",IF(ISNUMBER(U10),IF(U10&lt;TODAY(),"OVERDUE – report now",IF(U10=TODAY(),"DUE TODAY",IF(U10-TODAY()&lt;='Start here'!$C$7,"DUE in "&amp;(U10-TODAY())&amp;" days",IF(OR(S10="Death",S10="Specified injury",S10="Member of public to hospital",S10="Dangerous occurrence"),"REPORT without delay","Report by date shown")))),IF(AND(N(Q10)&gt;7,OR(S10="",S10="Not reportable",S10="Over-3-day injury (record only)")),"CHECK – over 7 days off",IF(S10="","Decide RIDDOR",IF(S10="Over-3-day injury (record only)","Record only","Not reportable"))))))))</f>
        <v/>
      </c>
      <c r="W10" s="30"/>
      <c r="X10" s="29"/>
      <c r="Y10" s="32"/>
      <c r="Z10" s="29"/>
      <c r="AA10" s="35"/>
      <c r="AB10" s="29"/>
      <c r="AC10" s="29"/>
      <c r="AD10" s="29"/>
      <c r="AE10" s="29"/>
      <c r="AF10" s="29"/>
      <c r="AG10" s="30"/>
      <c r="AH10" s="29"/>
      <c r="AI10" s="36" t="str">
        <f aca="true">IF(OR(C10="",AH10="Closed",AH10="Void – logged in error",AG10=""),"",IF(AG10&lt;TODAY(),"OVERDUE",IF(AG10-TODAY()&lt;='Start here'!$C$8,"Due soon","On track")))</f>
        <v/>
      </c>
      <c r="AJ10" s="29"/>
      <c r="AK10" s="29"/>
      <c r="AL10" s="30"/>
      <c r="AM10" s="37" t="str">
        <f aca="false">IF(AND(C10&lt;&gt;"",AH10&lt;&gt;"Closed",AH10&lt;&gt;"Void – logged in error",OR(AH10&lt;&gt;"",AD10&lt;&gt;"",AE10&lt;&gt;"",AF10&lt;&gt;"",AG10&lt;&gt;"")),ROW(),"")</f>
        <v/>
      </c>
    </row>
    <row r="11" customFormat="false" ht="30" hidden="false" customHeight="true" outlineLevel="0" collapsed="false">
      <c r="A11" s="28" t="str">
        <f aca="false">IF(C11="","","INC-"&amp;YEAR(C11)&amp;"-"&amp;TEXT(COUNTIFS($C$6:C11,"&gt;="&amp;DATE(YEAR(C11),1,1),$C$6:C11,"&lt;="&amp;DATE(YEAR(C11),12,31)),"000"))</f>
        <v/>
      </c>
      <c r="B11" s="29"/>
      <c r="C11" s="30"/>
      <c r="D11" s="31"/>
      <c r="E11" s="30"/>
      <c r="F11" s="29"/>
      <c r="G11" s="29"/>
      <c r="H11" s="29"/>
      <c r="I11" s="29"/>
      <c r="J11" s="29"/>
      <c r="K11" s="29"/>
      <c r="L11" s="29"/>
      <c r="M11" s="29"/>
      <c r="N11" s="29"/>
      <c r="O11" s="29"/>
      <c r="P11" s="29"/>
      <c r="Q11" s="32"/>
      <c r="R11" s="29"/>
      <c r="S11" s="29"/>
      <c r="T11" s="33" t="str">
        <f aca="false">IF(AH11="Void – logged in error","",IF(OR(C11="",S11=""),IF(C11="","","Decide"),IF(OR(S11="Not reportable",S11="Over-3-day injury (record only)"),"No","Yes")))</f>
        <v/>
      </c>
      <c r="U11" s="34" t="str">
        <f aca="false">IF(OR(C11="",S11=""),"",IF(S11="Over-7-day injury",C11+15,IF(OR(S11="Death",S11="Specified injury",S11="Member of public to hospital",S11="Dangerous occurrence"),C11+10,"")))</f>
        <v/>
      </c>
      <c r="V11" s="28" t="str">
        <f aca="true">IF(C11="","",IF(AH11="Void – logged in error","Void",IF(W11&lt;&gt;"","Done – reported",IF(S11="Occupational disease","REPORT NOW – on diagnosis",IF(ISNUMBER(U11),IF(U11&lt;TODAY(),"OVERDUE – report now",IF(U11=TODAY(),"DUE TODAY",IF(U11-TODAY()&lt;='Start here'!$C$7,"DUE in "&amp;(U11-TODAY())&amp;" days",IF(OR(S11="Death",S11="Specified injury",S11="Member of public to hospital",S11="Dangerous occurrence"),"REPORT without delay","Report by date shown")))),IF(AND(N(Q11)&gt;7,OR(S11="",S11="Not reportable",S11="Over-3-day injury (record only)")),"CHECK – over 7 days off",IF(S11="","Decide RIDDOR",IF(S11="Over-3-day injury (record only)","Record only","Not reportable"))))))))</f>
        <v/>
      </c>
      <c r="W11" s="30"/>
      <c r="X11" s="29"/>
      <c r="Y11" s="32"/>
      <c r="Z11" s="29"/>
      <c r="AA11" s="35"/>
      <c r="AB11" s="29"/>
      <c r="AC11" s="29"/>
      <c r="AD11" s="29"/>
      <c r="AE11" s="29"/>
      <c r="AF11" s="29"/>
      <c r="AG11" s="30"/>
      <c r="AH11" s="29"/>
      <c r="AI11" s="36" t="str">
        <f aca="true">IF(OR(C11="",AH11="Closed",AH11="Void – logged in error",AG11=""),"",IF(AG11&lt;TODAY(),"OVERDUE",IF(AG11-TODAY()&lt;='Start here'!$C$8,"Due soon","On track")))</f>
        <v/>
      </c>
      <c r="AJ11" s="29"/>
      <c r="AK11" s="29"/>
      <c r="AL11" s="30"/>
      <c r="AM11" s="37" t="str">
        <f aca="false">IF(AND(C11&lt;&gt;"",AH11&lt;&gt;"Closed",AH11&lt;&gt;"Void – logged in error",OR(AH11&lt;&gt;"",AD11&lt;&gt;"",AE11&lt;&gt;"",AF11&lt;&gt;"",AG11&lt;&gt;"")),ROW(),"")</f>
        <v/>
      </c>
    </row>
    <row r="12" customFormat="false" ht="30" hidden="false" customHeight="true" outlineLevel="0" collapsed="false">
      <c r="A12" s="28" t="str">
        <f aca="false">IF(C12="","","INC-"&amp;YEAR(C12)&amp;"-"&amp;TEXT(COUNTIFS($C$6:C12,"&gt;="&amp;DATE(YEAR(C12),1,1),$C$6:C12,"&lt;="&amp;DATE(YEAR(C12),12,31)),"000"))</f>
        <v/>
      </c>
      <c r="B12" s="29"/>
      <c r="C12" s="30"/>
      <c r="D12" s="31"/>
      <c r="E12" s="30"/>
      <c r="F12" s="29"/>
      <c r="G12" s="29"/>
      <c r="H12" s="29"/>
      <c r="I12" s="29"/>
      <c r="J12" s="29"/>
      <c r="K12" s="29"/>
      <c r="L12" s="29"/>
      <c r="M12" s="29"/>
      <c r="N12" s="29"/>
      <c r="O12" s="29"/>
      <c r="P12" s="29"/>
      <c r="Q12" s="32"/>
      <c r="R12" s="29"/>
      <c r="S12" s="29"/>
      <c r="T12" s="33" t="str">
        <f aca="false">IF(AH12="Void – logged in error","",IF(OR(C12="",S12=""),IF(C12="","","Decide"),IF(OR(S12="Not reportable",S12="Over-3-day injury (record only)"),"No","Yes")))</f>
        <v/>
      </c>
      <c r="U12" s="34" t="str">
        <f aca="false">IF(OR(C12="",S12=""),"",IF(S12="Over-7-day injury",C12+15,IF(OR(S12="Death",S12="Specified injury",S12="Member of public to hospital",S12="Dangerous occurrence"),C12+10,"")))</f>
        <v/>
      </c>
      <c r="V12" s="28" t="str">
        <f aca="true">IF(C12="","",IF(AH12="Void – logged in error","Void",IF(W12&lt;&gt;"","Done – reported",IF(S12="Occupational disease","REPORT NOW – on diagnosis",IF(ISNUMBER(U12),IF(U12&lt;TODAY(),"OVERDUE – report now",IF(U12=TODAY(),"DUE TODAY",IF(U12-TODAY()&lt;='Start here'!$C$7,"DUE in "&amp;(U12-TODAY())&amp;" days",IF(OR(S12="Death",S12="Specified injury",S12="Member of public to hospital",S12="Dangerous occurrence"),"REPORT without delay","Report by date shown")))),IF(AND(N(Q12)&gt;7,OR(S12="",S12="Not reportable",S12="Over-3-day injury (record only)")),"CHECK – over 7 days off",IF(S12="","Decide RIDDOR",IF(S12="Over-3-day injury (record only)","Record only","Not reportable"))))))))</f>
        <v/>
      </c>
      <c r="W12" s="30"/>
      <c r="X12" s="29"/>
      <c r="Y12" s="32"/>
      <c r="Z12" s="29"/>
      <c r="AA12" s="35"/>
      <c r="AB12" s="29"/>
      <c r="AC12" s="29"/>
      <c r="AD12" s="29"/>
      <c r="AE12" s="29"/>
      <c r="AF12" s="29"/>
      <c r="AG12" s="30"/>
      <c r="AH12" s="29"/>
      <c r="AI12" s="36" t="str">
        <f aca="true">IF(OR(C12="",AH12="Closed",AH12="Void – logged in error",AG12=""),"",IF(AG12&lt;TODAY(),"OVERDUE",IF(AG12-TODAY()&lt;='Start here'!$C$8,"Due soon","On track")))</f>
        <v/>
      </c>
      <c r="AJ12" s="29"/>
      <c r="AK12" s="29"/>
      <c r="AL12" s="30"/>
      <c r="AM12" s="37" t="str">
        <f aca="false">IF(AND(C12&lt;&gt;"",AH12&lt;&gt;"Closed",AH12&lt;&gt;"Void – logged in error",OR(AH12&lt;&gt;"",AD12&lt;&gt;"",AE12&lt;&gt;"",AF12&lt;&gt;"",AG12&lt;&gt;"")),ROW(),"")</f>
        <v/>
      </c>
    </row>
    <row r="13" customFormat="false" ht="30" hidden="false" customHeight="true" outlineLevel="0" collapsed="false">
      <c r="A13" s="28" t="str">
        <f aca="false">IF(C13="","","INC-"&amp;YEAR(C13)&amp;"-"&amp;TEXT(COUNTIFS($C$6:C13,"&gt;="&amp;DATE(YEAR(C13),1,1),$C$6:C13,"&lt;="&amp;DATE(YEAR(C13),12,31)),"000"))</f>
        <v/>
      </c>
      <c r="B13" s="29"/>
      <c r="C13" s="30"/>
      <c r="D13" s="31"/>
      <c r="E13" s="30"/>
      <c r="F13" s="29"/>
      <c r="G13" s="29"/>
      <c r="H13" s="29"/>
      <c r="I13" s="29"/>
      <c r="J13" s="29"/>
      <c r="K13" s="29"/>
      <c r="L13" s="29"/>
      <c r="M13" s="29"/>
      <c r="N13" s="29"/>
      <c r="O13" s="29"/>
      <c r="P13" s="29"/>
      <c r="Q13" s="32"/>
      <c r="R13" s="29"/>
      <c r="S13" s="29"/>
      <c r="T13" s="33" t="str">
        <f aca="false">IF(AH13="Void – logged in error","",IF(OR(C13="",S13=""),IF(C13="","","Decide"),IF(OR(S13="Not reportable",S13="Over-3-day injury (record only)"),"No","Yes")))</f>
        <v/>
      </c>
      <c r="U13" s="34" t="str">
        <f aca="false">IF(OR(C13="",S13=""),"",IF(S13="Over-7-day injury",C13+15,IF(OR(S13="Death",S13="Specified injury",S13="Member of public to hospital",S13="Dangerous occurrence"),C13+10,"")))</f>
        <v/>
      </c>
      <c r="V13" s="28" t="str">
        <f aca="true">IF(C13="","",IF(AH13="Void – logged in error","Void",IF(W13&lt;&gt;"","Done – reported",IF(S13="Occupational disease","REPORT NOW – on diagnosis",IF(ISNUMBER(U13),IF(U13&lt;TODAY(),"OVERDUE – report now",IF(U13=TODAY(),"DUE TODAY",IF(U13-TODAY()&lt;='Start here'!$C$7,"DUE in "&amp;(U13-TODAY())&amp;" days",IF(OR(S13="Death",S13="Specified injury",S13="Member of public to hospital",S13="Dangerous occurrence"),"REPORT without delay","Report by date shown")))),IF(AND(N(Q13)&gt;7,OR(S13="",S13="Not reportable",S13="Over-3-day injury (record only)")),"CHECK – over 7 days off",IF(S13="","Decide RIDDOR",IF(S13="Over-3-day injury (record only)","Record only","Not reportable"))))))))</f>
        <v/>
      </c>
      <c r="W13" s="30"/>
      <c r="X13" s="29"/>
      <c r="Y13" s="32"/>
      <c r="Z13" s="29"/>
      <c r="AA13" s="35"/>
      <c r="AB13" s="29"/>
      <c r="AC13" s="29"/>
      <c r="AD13" s="29"/>
      <c r="AE13" s="29"/>
      <c r="AF13" s="29"/>
      <c r="AG13" s="30"/>
      <c r="AH13" s="29"/>
      <c r="AI13" s="36" t="str">
        <f aca="true">IF(OR(C13="",AH13="Closed",AH13="Void – logged in error",AG13=""),"",IF(AG13&lt;TODAY(),"OVERDUE",IF(AG13-TODAY()&lt;='Start here'!$C$8,"Due soon","On track")))</f>
        <v/>
      </c>
      <c r="AJ13" s="29"/>
      <c r="AK13" s="29"/>
      <c r="AL13" s="30"/>
      <c r="AM13" s="37" t="str">
        <f aca="false">IF(AND(C13&lt;&gt;"",AH13&lt;&gt;"Closed",AH13&lt;&gt;"Void – logged in error",OR(AH13&lt;&gt;"",AD13&lt;&gt;"",AE13&lt;&gt;"",AF13&lt;&gt;"",AG13&lt;&gt;"")),ROW(),"")</f>
        <v/>
      </c>
    </row>
    <row r="14" customFormat="false" ht="30" hidden="false" customHeight="true" outlineLevel="0" collapsed="false">
      <c r="A14" s="28" t="str">
        <f aca="false">IF(C14="","","INC-"&amp;YEAR(C14)&amp;"-"&amp;TEXT(COUNTIFS($C$6:C14,"&gt;="&amp;DATE(YEAR(C14),1,1),$C$6:C14,"&lt;="&amp;DATE(YEAR(C14),12,31)),"000"))</f>
        <v/>
      </c>
      <c r="B14" s="29"/>
      <c r="C14" s="30"/>
      <c r="D14" s="31"/>
      <c r="E14" s="30"/>
      <c r="F14" s="29"/>
      <c r="G14" s="29"/>
      <c r="H14" s="29"/>
      <c r="I14" s="29"/>
      <c r="J14" s="29"/>
      <c r="K14" s="29"/>
      <c r="L14" s="29"/>
      <c r="M14" s="29"/>
      <c r="N14" s="29"/>
      <c r="O14" s="29"/>
      <c r="P14" s="29"/>
      <c r="Q14" s="32"/>
      <c r="R14" s="29"/>
      <c r="S14" s="29"/>
      <c r="T14" s="33" t="str">
        <f aca="false">IF(AH14="Void – logged in error","",IF(OR(C14="",S14=""),IF(C14="","","Decide"),IF(OR(S14="Not reportable",S14="Over-3-day injury (record only)"),"No","Yes")))</f>
        <v/>
      </c>
      <c r="U14" s="34" t="str">
        <f aca="false">IF(OR(C14="",S14=""),"",IF(S14="Over-7-day injury",C14+15,IF(OR(S14="Death",S14="Specified injury",S14="Member of public to hospital",S14="Dangerous occurrence"),C14+10,"")))</f>
        <v/>
      </c>
      <c r="V14" s="28" t="str">
        <f aca="true">IF(C14="","",IF(AH14="Void – logged in error","Void",IF(W14&lt;&gt;"","Done – reported",IF(S14="Occupational disease","REPORT NOW – on diagnosis",IF(ISNUMBER(U14),IF(U14&lt;TODAY(),"OVERDUE – report now",IF(U14=TODAY(),"DUE TODAY",IF(U14-TODAY()&lt;='Start here'!$C$7,"DUE in "&amp;(U14-TODAY())&amp;" days",IF(OR(S14="Death",S14="Specified injury",S14="Member of public to hospital",S14="Dangerous occurrence"),"REPORT without delay","Report by date shown")))),IF(AND(N(Q14)&gt;7,OR(S14="",S14="Not reportable",S14="Over-3-day injury (record only)")),"CHECK – over 7 days off",IF(S14="","Decide RIDDOR",IF(S14="Over-3-day injury (record only)","Record only","Not reportable"))))))))</f>
        <v/>
      </c>
      <c r="W14" s="30"/>
      <c r="X14" s="29"/>
      <c r="Y14" s="32"/>
      <c r="Z14" s="29"/>
      <c r="AA14" s="35"/>
      <c r="AB14" s="29"/>
      <c r="AC14" s="29"/>
      <c r="AD14" s="29"/>
      <c r="AE14" s="29"/>
      <c r="AF14" s="29"/>
      <c r="AG14" s="30"/>
      <c r="AH14" s="29"/>
      <c r="AI14" s="36" t="str">
        <f aca="true">IF(OR(C14="",AH14="Closed",AH14="Void – logged in error",AG14=""),"",IF(AG14&lt;TODAY(),"OVERDUE",IF(AG14-TODAY()&lt;='Start here'!$C$8,"Due soon","On track")))</f>
        <v/>
      </c>
      <c r="AJ14" s="29"/>
      <c r="AK14" s="29"/>
      <c r="AL14" s="30"/>
      <c r="AM14" s="37" t="str">
        <f aca="false">IF(AND(C14&lt;&gt;"",AH14&lt;&gt;"Closed",AH14&lt;&gt;"Void – logged in error",OR(AH14&lt;&gt;"",AD14&lt;&gt;"",AE14&lt;&gt;"",AF14&lt;&gt;"",AG14&lt;&gt;"")),ROW(),"")</f>
        <v/>
      </c>
    </row>
    <row r="15" customFormat="false" ht="30" hidden="false" customHeight="true" outlineLevel="0" collapsed="false">
      <c r="A15" s="28" t="str">
        <f aca="false">IF(C15="","","INC-"&amp;YEAR(C15)&amp;"-"&amp;TEXT(COUNTIFS($C$6:C15,"&gt;="&amp;DATE(YEAR(C15),1,1),$C$6:C15,"&lt;="&amp;DATE(YEAR(C15),12,31)),"000"))</f>
        <v/>
      </c>
      <c r="B15" s="29"/>
      <c r="C15" s="30"/>
      <c r="D15" s="31"/>
      <c r="E15" s="30"/>
      <c r="F15" s="29"/>
      <c r="G15" s="29"/>
      <c r="H15" s="29"/>
      <c r="I15" s="29"/>
      <c r="J15" s="29"/>
      <c r="K15" s="29"/>
      <c r="L15" s="29"/>
      <c r="M15" s="29"/>
      <c r="N15" s="29"/>
      <c r="O15" s="29"/>
      <c r="P15" s="29"/>
      <c r="Q15" s="32"/>
      <c r="R15" s="29"/>
      <c r="S15" s="29"/>
      <c r="T15" s="33" t="str">
        <f aca="false">IF(AH15="Void – logged in error","",IF(OR(C15="",S15=""),IF(C15="","","Decide"),IF(OR(S15="Not reportable",S15="Over-3-day injury (record only)"),"No","Yes")))</f>
        <v/>
      </c>
      <c r="U15" s="34" t="str">
        <f aca="false">IF(OR(C15="",S15=""),"",IF(S15="Over-7-day injury",C15+15,IF(OR(S15="Death",S15="Specified injury",S15="Member of public to hospital",S15="Dangerous occurrence"),C15+10,"")))</f>
        <v/>
      </c>
      <c r="V15" s="28" t="str">
        <f aca="true">IF(C15="","",IF(AH15="Void – logged in error","Void",IF(W15&lt;&gt;"","Done – reported",IF(S15="Occupational disease","REPORT NOW – on diagnosis",IF(ISNUMBER(U15),IF(U15&lt;TODAY(),"OVERDUE – report now",IF(U15=TODAY(),"DUE TODAY",IF(U15-TODAY()&lt;='Start here'!$C$7,"DUE in "&amp;(U15-TODAY())&amp;" days",IF(OR(S15="Death",S15="Specified injury",S15="Member of public to hospital",S15="Dangerous occurrence"),"REPORT without delay","Report by date shown")))),IF(AND(N(Q15)&gt;7,OR(S15="",S15="Not reportable",S15="Over-3-day injury (record only)")),"CHECK – over 7 days off",IF(S15="","Decide RIDDOR",IF(S15="Over-3-day injury (record only)","Record only","Not reportable"))))))))</f>
        <v/>
      </c>
      <c r="W15" s="30"/>
      <c r="X15" s="29"/>
      <c r="Y15" s="32"/>
      <c r="Z15" s="29"/>
      <c r="AA15" s="35"/>
      <c r="AB15" s="29"/>
      <c r="AC15" s="29"/>
      <c r="AD15" s="29"/>
      <c r="AE15" s="29"/>
      <c r="AF15" s="29"/>
      <c r="AG15" s="30"/>
      <c r="AH15" s="29"/>
      <c r="AI15" s="36" t="str">
        <f aca="true">IF(OR(C15="",AH15="Closed",AH15="Void – logged in error",AG15=""),"",IF(AG15&lt;TODAY(),"OVERDUE",IF(AG15-TODAY()&lt;='Start here'!$C$8,"Due soon","On track")))</f>
        <v/>
      </c>
      <c r="AJ15" s="29"/>
      <c r="AK15" s="29"/>
      <c r="AL15" s="30"/>
      <c r="AM15" s="37" t="str">
        <f aca="false">IF(AND(C15&lt;&gt;"",AH15&lt;&gt;"Closed",AH15&lt;&gt;"Void – logged in error",OR(AH15&lt;&gt;"",AD15&lt;&gt;"",AE15&lt;&gt;"",AF15&lt;&gt;"",AG15&lt;&gt;"")),ROW(),"")</f>
        <v/>
      </c>
    </row>
    <row r="16" customFormat="false" ht="30" hidden="false" customHeight="true" outlineLevel="0" collapsed="false">
      <c r="A16" s="28" t="str">
        <f aca="false">IF(C16="","","INC-"&amp;YEAR(C16)&amp;"-"&amp;TEXT(COUNTIFS($C$6:C16,"&gt;="&amp;DATE(YEAR(C16),1,1),$C$6:C16,"&lt;="&amp;DATE(YEAR(C16),12,31)),"000"))</f>
        <v/>
      </c>
      <c r="B16" s="29"/>
      <c r="C16" s="30"/>
      <c r="D16" s="31"/>
      <c r="E16" s="30"/>
      <c r="F16" s="29"/>
      <c r="G16" s="29"/>
      <c r="H16" s="29"/>
      <c r="I16" s="29"/>
      <c r="J16" s="29"/>
      <c r="K16" s="29"/>
      <c r="L16" s="29"/>
      <c r="M16" s="29"/>
      <c r="N16" s="29"/>
      <c r="O16" s="29"/>
      <c r="P16" s="29"/>
      <c r="Q16" s="32"/>
      <c r="R16" s="29"/>
      <c r="S16" s="29"/>
      <c r="T16" s="33" t="str">
        <f aca="false">IF(AH16="Void – logged in error","",IF(OR(C16="",S16=""),IF(C16="","","Decide"),IF(OR(S16="Not reportable",S16="Over-3-day injury (record only)"),"No","Yes")))</f>
        <v/>
      </c>
      <c r="U16" s="34" t="str">
        <f aca="false">IF(OR(C16="",S16=""),"",IF(S16="Over-7-day injury",C16+15,IF(OR(S16="Death",S16="Specified injury",S16="Member of public to hospital",S16="Dangerous occurrence"),C16+10,"")))</f>
        <v/>
      </c>
      <c r="V16" s="28" t="str">
        <f aca="true">IF(C16="","",IF(AH16="Void – logged in error","Void",IF(W16&lt;&gt;"","Done – reported",IF(S16="Occupational disease","REPORT NOW – on diagnosis",IF(ISNUMBER(U16),IF(U16&lt;TODAY(),"OVERDUE – report now",IF(U16=TODAY(),"DUE TODAY",IF(U16-TODAY()&lt;='Start here'!$C$7,"DUE in "&amp;(U16-TODAY())&amp;" days",IF(OR(S16="Death",S16="Specified injury",S16="Member of public to hospital",S16="Dangerous occurrence"),"REPORT without delay","Report by date shown")))),IF(AND(N(Q16)&gt;7,OR(S16="",S16="Not reportable",S16="Over-3-day injury (record only)")),"CHECK – over 7 days off",IF(S16="","Decide RIDDOR",IF(S16="Over-3-day injury (record only)","Record only","Not reportable"))))))))</f>
        <v/>
      </c>
      <c r="W16" s="30"/>
      <c r="X16" s="29"/>
      <c r="Y16" s="32"/>
      <c r="Z16" s="29"/>
      <c r="AA16" s="35"/>
      <c r="AB16" s="29"/>
      <c r="AC16" s="29"/>
      <c r="AD16" s="29"/>
      <c r="AE16" s="29"/>
      <c r="AF16" s="29"/>
      <c r="AG16" s="30"/>
      <c r="AH16" s="29"/>
      <c r="AI16" s="36" t="str">
        <f aca="true">IF(OR(C16="",AH16="Closed",AH16="Void – logged in error",AG16=""),"",IF(AG16&lt;TODAY(),"OVERDUE",IF(AG16-TODAY()&lt;='Start here'!$C$8,"Due soon","On track")))</f>
        <v/>
      </c>
      <c r="AJ16" s="29"/>
      <c r="AK16" s="29"/>
      <c r="AL16" s="30"/>
      <c r="AM16" s="37" t="str">
        <f aca="false">IF(AND(C16&lt;&gt;"",AH16&lt;&gt;"Closed",AH16&lt;&gt;"Void – logged in error",OR(AH16&lt;&gt;"",AD16&lt;&gt;"",AE16&lt;&gt;"",AF16&lt;&gt;"",AG16&lt;&gt;"")),ROW(),"")</f>
        <v/>
      </c>
    </row>
    <row r="17" customFormat="false" ht="30" hidden="false" customHeight="true" outlineLevel="0" collapsed="false">
      <c r="A17" s="28" t="str">
        <f aca="false">IF(C17="","","INC-"&amp;YEAR(C17)&amp;"-"&amp;TEXT(COUNTIFS($C$6:C17,"&gt;="&amp;DATE(YEAR(C17),1,1),$C$6:C17,"&lt;="&amp;DATE(YEAR(C17),12,31)),"000"))</f>
        <v/>
      </c>
      <c r="B17" s="29"/>
      <c r="C17" s="30"/>
      <c r="D17" s="31"/>
      <c r="E17" s="30"/>
      <c r="F17" s="29"/>
      <c r="G17" s="29"/>
      <c r="H17" s="29"/>
      <c r="I17" s="29"/>
      <c r="J17" s="29"/>
      <c r="K17" s="29"/>
      <c r="L17" s="29"/>
      <c r="M17" s="29"/>
      <c r="N17" s="29"/>
      <c r="O17" s="29"/>
      <c r="P17" s="29"/>
      <c r="Q17" s="32"/>
      <c r="R17" s="29"/>
      <c r="S17" s="29"/>
      <c r="T17" s="33" t="str">
        <f aca="false">IF(AH17="Void – logged in error","",IF(OR(C17="",S17=""),IF(C17="","","Decide"),IF(OR(S17="Not reportable",S17="Over-3-day injury (record only)"),"No","Yes")))</f>
        <v/>
      </c>
      <c r="U17" s="34" t="str">
        <f aca="false">IF(OR(C17="",S17=""),"",IF(S17="Over-7-day injury",C17+15,IF(OR(S17="Death",S17="Specified injury",S17="Member of public to hospital",S17="Dangerous occurrence"),C17+10,"")))</f>
        <v/>
      </c>
      <c r="V17" s="28" t="str">
        <f aca="true">IF(C17="","",IF(AH17="Void – logged in error","Void",IF(W17&lt;&gt;"","Done – reported",IF(S17="Occupational disease","REPORT NOW – on diagnosis",IF(ISNUMBER(U17),IF(U17&lt;TODAY(),"OVERDUE – report now",IF(U17=TODAY(),"DUE TODAY",IF(U17-TODAY()&lt;='Start here'!$C$7,"DUE in "&amp;(U17-TODAY())&amp;" days",IF(OR(S17="Death",S17="Specified injury",S17="Member of public to hospital",S17="Dangerous occurrence"),"REPORT without delay","Report by date shown")))),IF(AND(N(Q17)&gt;7,OR(S17="",S17="Not reportable",S17="Over-3-day injury (record only)")),"CHECK – over 7 days off",IF(S17="","Decide RIDDOR",IF(S17="Over-3-day injury (record only)","Record only","Not reportable"))))))))</f>
        <v/>
      </c>
      <c r="W17" s="30"/>
      <c r="X17" s="29"/>
      <c r="Y17" s="32"/>
      <c r="Z17" s="29"/>
      <c r="AA17" s="35"/>
      <c r="AB17" s="29"/>
      <c r="AC17" s="29"/>
      <c r="AD17" s="29"/>
      <c r="AE17" s="29"/>
      <c r="AF17" s="29"/>
      <c r="AG17" s="30"/>
      <c r="AH17" s="29"/>
      <c r="AI17" s="36" t="str">
        <f aca="true">IF(OR(C17="",AH17="Closed",AH17="Void – logged in error",AG17=""),"",IF(AG17&lt;TODAY(),"OVERDUE",IF(AG17-TODAY()&lt;='Start here'!$C$8,"Due soon","On track")))</f>
        <v/>
      </c>
      <c r="AJ17" s="29"/>
      <c r="AK17" s="29"/>
      <c r="AL17" s="30"/>
      <c r="AM17" s="37" t="str">
        <f aca="false">IF(AND(C17&lt;&gt;"",AH17&lt;&gt;"Closed",AH17&lt;&gt;"Void – logged in error",OR(AH17&lt;&gt;"",AD17&lt;&gt;"",AE17&lt;&gt;"",AF17&lt;&gt;"",AG17&lt;&gt;"")),ROW(),"")</f>
        <v/>
      </c>
    </row>
    <row r="18" customFormat="false" ht="30" hidden="false" customHeight="true" outlineLevel="0" collapsed="false">
      <c r="A18" s="28" t="str">
        <f aca="false">IF(C18="","","INC-"&amp;YEAR(C18)&amp;"-"&amp;TEXT(COUNTIFS($C$6:C18,"&gt;="&amp;DATE(YEAR(C18),1,1),$C$6:C18,"&lt;="&amp;DATE(YEAR(C18),12,31)),"000"))</f>
        <v/>
      </c>
      <c r="B18" s="29"/>
      <c r="C18" s="30"/>
      <c r="D18" s="31"/>
      <c r="E18" s="30"/>
      <c r="F18" s="29"/>
      <c r="G18" s="29"/>
      <c r="H18" s="29"/>
      <c r="I18" s="29"/>
      <c r="J18" s="29"/>
      <c r="K18" s="29"/>
      <c r="L18" s="29"/>
      <c r="M18" s="29"/>
      <c r="N18" s="29"/>
      <c r="O18" s="29"/>
      <c r="P18" s="29"/>
      <c r="Q18" s="32"/>
      <c r="R18" s="29"/>
      <c r="S18" s="29"/>
      <c r="T18" s="33" t="str">
        <f aca="false">IF(AH18="Void – logged in error","",IF(OR(C18="",S18=""),IF(C18="","","Decide"),IF(OR(S18="Not reportable",S18="Over-3-day injury (record only)"),"No","Yes")))</f>
        <v/>
      </c>
      <c r="U18" s="34" t="str">
        <f aca="false">IF(OR(C18="",S18=""),"",IF(S18="Over-7-day injury",C18+15,IF(OR(S18="Death",S18="Specified injury",S18="Member of public to hospital",S18="Dangerous occurrence"),C18+10,"")))</f>
        <v/>
      </c>
      <c r="V18" s="28" t="str">
        <f aca="true">IF(C18="","",IF(AH18="Void – logged in error","Void",IF(W18&lt;&gt;"","Done – reported",IF(S18="Occupational disease","REPORT NOW – on diagnosis",IF(ISNUMBER(U18),IF(U18&lt;TODAY(),"OVERDUE – report now",IF(U18=TODAY(),"DUE TODAY",IF(U18-TODAY()&lt;='Start here'!$C$7,"DUE in "&amp;(U18-TODAY())&amp;" days",IF(OR(S18="Death",S18="Specified injury",S18="Member of public to hospital",S18="Dangerous occurrence"),"REPORT without delay","Report by date shown")))),IF(AND(N(Q18)&gt;7,OR(S18="",S18="Not reportable",S18="Over-3-day injury (record only)")),"CHECK – over 7 days off",IF(S18="","Decide RIDDOR",IF(S18="Over-3-day injury (record only)","Record only","Not reportable"))))))))</f>
        <v/>
      </c>
      <c r="W18" s="30"/>
      <c r="X18" s="29"/>
      <c r="Y18" s="32"/>
      <c r="Z18" s="29"/>
      <c r="AA18" s="35"/>
      <c r="AB18" s="29"/>
      <c r="AC18" s="29"/>
      <c r="AD18" s="29"/>
      <c r="AE18" s="29"/>
      <c r="AF18" s="29"/>
      <c r="AG18" s="30"/>
      <c r="AH18" s="29"/>
      <c r="AI18" s="36" t="str">
        <f aca="true">IF(OR(C18="",AH18="Closed",AH18="Void – logged in error",AG18=""),"",IF(AG18&lt;TODAY(),"OVERDUE",IF(AG18-TODAY()&lt;='Start here'!$C$8,"Due soon","On track")))</f>
        <v/>
      </c>
      <c r="AJ18" s="29"/>
      <c r="AK18" s="29"/>
      <c r="AL18" s="30"/>
      <c r="AM18" s="37" t="str">
        <f aca="false">IF(AND(C18&lt;&gt;"",AH18&lt;&gt;"Closed",AH18&lt;&gt;"Void – logged in error",OR(AH18&lt;&gt;"",AD18&lt;&gt;"",AE18&lt;&gt;"",AF18&lt;&gt;"",AG18&lt;&gt;"")),ROW(),"")</f>
        <v/>
      </c>
    </row>
    <row r="19" customFormat="false" ht="30" hidden="false" customHeight="true" outlineLevel="0" collapsed="false">
      <c r="A19" s="28" t="str">
        <f aca="false">IF(C19="","","INC-"&amp;YEAR(C19)&amp;"-"&amp;TEXT(COUNTIFS($C$6:C19,"&gt;="&amp;DATE(YEAR(C19),1,1),$C$6:C19,"&lt;="&amp;DATE(YEAR(C19),12,31)),"000"))</f>
        <v/>
      </c>
      <c r="B19" s="29"/>
      <c r="C19" s="30"/>
      <c r="D19" s="31"/>
      <c r="E19" s="30"/>
      <c r="F19" s="29"/>
      <c r="G19" s="29"/>
      <c r="H19" s="29"/>
      <c r="I19" s="29"/>
      <c r="J19" s="29"/>
      <c r="K19" s="29"/>
      <c r="L19" s="29"/>
      <c r="M19" s="29"/>
      <c r="N19" s="29"/>
      <c r="O19" s="29"/>
      <c r="P19" s="29"/>
      <c r="Q19" s="32"/>
      <c r="R19" s="29"/>
      <c r="S19" s="29"/>
      <c r="T19" s="33" t="str">
        <f aca="false">IF(AH19="Void – logged in error","",IF(OR(C19="",S19=""),IF(C19="","","Decide"),IF(OR(S19="Not reportable",S19="Over-3-day injury (record only)"),"No","Yes")))</f>
        <v/>
      </c>
      <c r="U19" s="34" t="str">
        <f aca="false">IF(OR(C19="",S19=""),"",IF(S19="Over-7-day injury",C19+15,IF(OR(S19="Death",S19="Specified injury",S19="Member of public to hospital",S19="Dangerous occurrence"),C19+10,"")))</f>
        <v/>
      </c>
      <c r="V19" s="28" t="str">
        <f aca="true">IF(C19="","",IF(AH19="Void – logged in error","Void",IF(W19&lt;&gt;"","Done – reported",IF(S19="Occupational disease","REPORT NOW – on diagnosis",IF(ISNUMBER(U19),IF(U19&lt;TODAY(),"OVERDUE – report now",IF(U19=TODAY(),"DUE TODAY",IF(U19-TODAY()&lt;='Start here'!$C$7,"DUE in "&amp;(U19-TODAY())&amp;" days",IF(OR(S19="Death",S19="Specified injury",S19="Member of public to hospital",S19="Dangerous occurrence"),"REPORT without delay","Report by date shown")))),IF(AND(N(Q19)&gt;7,OR(S19="",S19="Not reportable",S19="Over-3-day injury (record only)")),"CHECK – over 7 days off",IF(S19="","Decide RIDDOR",IF(S19="Over-3-day injury (record only)","Record only","Not reportable"))))))))</f>
        <v/>
      </c>
      <c r="W19" s="30"/>
      <c r="X19" s="29"/>
      <c r="Y19" s="32"/>
      <c r="Z19" s="29"/>
      <c r="AA19" s="35"/>
      <c r="AB19" s="29"/>
      <c r="AC19" s="29"/>
      <c r="AD19" s="29"/>
      <c r="AE19" s="29"/>
      <c r="AF19" s="29"/>
      <c r="AG19" s="30"/>
      <c r="AH19" s="29"/>
      <c r="AI19" s="36" t="str">
        <f aca="true">IF(OR(C19="",AH19="Closed",AH19="Void – logged in error",AG19=""),"",IF(AG19&lt;TODAY(),"OVERDUE",IF(AG19-TODAY()&lt;='Start here'!$C$8,"Due soon","On track")))</f>
        <v/>
      </c>
      <c r="AJ19" s="29"/>
      <c r="AK19" s="29"/>
      <c r="AL19" s="30"/>
      <c r="AM19" s="37" t="str">
        <f aca="false">IF(AND(C19&lt;&gt;"",AH19&lt;&gt;"Closed",AH19&lt;&gt;"Void – logged in error",OR(AH19&lt;&gt;"",AD19&lt;&gt;"",AE19&lt;&gt;"",AF19&lt;&gt;"",AG19&lt;&gt;"")),ROW(),"")</f>
        <v/>
      </c>
    </row>
    <row r="20" customFormat="false" ht="30" hidden="false" customHeight="true" outlineLevel="0" collapsed="false">
      <c r="A20" s="28" t="str">
        <f aca="false">IF(C20="","","INC-"&amp;YEAR(C20)&amp;"-"&amp;TEXT(COUNTIFS($C$6:C20,"&gt;="&amp;DATE(YEAR(C20),1,1),$C$6:C20,"&lt;="&amp;DATE(YEAR(C20),12,31)),"000"))</f>
        <v/>
      </c>
      <c r="B20" s="29"/>
      <c r="C20" s="30"/>
      <c r="D20" s="31"/>
      <c r="E20" s="30"/>
      <c r="F20" s="29"/>
      <c r="G20" s="29"/>
      <c r="H20" s="29"/>
      <c r="I20" s="29"/>
      <c r="J20" s="29"/>
      <c r="K20" s="29"/>
      <c r="L20" s="29"/>
      <c r="M20" s="29"/>
      <c r="N20" s="29"/>
      <c r="O20" s="29"/>
      <c r="P20" s="29"/>
      <c r="Q20" s="32"/>
      <c r="R20" s="29"/>
      <c r="S20" s="29"/>
      <c r="T20" s="33" t="str">
        <f aca="false">IF(AH20="Void – logged in error","",IF(OR(C20="",S20=""),IF(C20="","","Decide"),IF(OR(S20="Not reportable",S20="Over-3-day injury (record only)"),"No","Yes")))</f>
        <v/>
      </c>
      <c r="U20" s="34" t="str">
        <f aca="false">IF(OR(C20="",S20=""),"",IF(S20="Over-7-day injury",C20+15,IF(OR(S20="Death",S20="Specified injury",S20="Member of public to hospital",S20="Dangerous occurrence"),C20+10,"")))</f>
        <v/>
      </c>
      <c r="V20" s="28" t="str">
        <f aca="true">IF(C20="","",IF(AH20="Void – logged in error","Void",IF(W20&lt;&gt;"","Done – reported",IF(S20="Occupational disease","REPORT NOW – on diagnosis",IF(ISNUMBER(U20),IF(U20&lt;TODAY(),"OVERDUE – report now",IF(U20=TODAY(),"DUE TODAY",IF(U20-TODAY()&lt;='Start here'!$C$7,"DUE in "&amp;(U20-TODAY())&amp;" days",IF(OR(S20="Death",S20="Specified injury",S20="Member of public to hospital",S20="Dangerous occurrence"),"REPORT without delay","Report by date shown")))),IF(AND(N(Q20)&gt;7,OR(S20="",S20="Not reportable",S20="Over-3-day injury (record only)")),"CHECK – over 7 days off",IF(S20="","Decide RIDDOR",IF(S20="Over-3-day injury (record only)","Record only","Not reportable"))))))))</f>
        <v/>
      </c>
      <c r="W20" s="30"/>
      <c r="X20" s="29"/>
      <c r="Y20" s="32"/>
      <c r="Z20" s="29"/>
      <c r="AA20" s="35"/>
      <c r="AB20" s="29"/>
      <c r="AC20" s="29"/>
      <c r="AD20" s="29"/>
      <c r="AE20" s="29"/>
      <c r="AF20" s="29"/>
      <c r="AG20" s="30"/>
      <c r="AH20" s="29"/>
      <c r="AI20" s="36" t="str">
        <f aca="true">IF(OR(C20="",AH20="Closed",AH20="Void – logged in error",AG20=""),"",IF(AG20&lt;TODAY(),"OVERDUE",IF(AG20-TODAY()&lt;='Start here'!$C$8,"Due soon","On track")))</f>
        <v/>
      </c>
      <c r="AJ20" s="29"/>
      <c r="AK20" s="29"/>
      <c r="AL20" s="30"/>
      <c r="AM20" s="37" t="str">
        <f aca="false">IF(AND(C20&lt;&gt;"",AH20&lt;&gt;"Closed",AH20&lt;&gt;"Void – logged in error",OR(AH20&lt;&gt;"",AD20&lt;&gt;"",AE20&lt;&gt;"",AF20&lt;&gt;"",AG20&lt;&gt;"")),ROW(),"")</f>
        <v/>
      </c>
    </row>
    <row r="21" customFormat="false" ht="30" hidden="false" customHeight="true" outlineLevel="0" collapsed="false">
      <c r="A21" s="28" t="str">
        <f aca="false">IF(C21="","","INC-"&amp;YEAR(C21)&amp;"-"&amp;TEXT(COUNTIFS($C$6:C21,"&gt;="&amp;DATE(YEAR(C21),1,1),$C$6:C21,"&lt;="&amp;DATE(YEAR(C21),12,31)),"000"))</f>
        <v/>
      </c>
      <c r="B21" s="29"/>
      <c r="C21" s="30"/>
      <c r="D21" s="31"/>
      <c r="E21" s="30"/>
      <c r="F21" s="29"/>
      <c r="G21" s="29"/>
      <c r="H21" s="29"/>
      <c r="I21" s="29"/>
      <c r="J21" s="29"/>
      <c r="K21" s="29"/>
      <c r="L21" s="29"/>
      <c r="M21" s="29"/>
      <c r="N21" s="29"/>
      <c r="O21" s="29"/>
      <c r="P21" s="29"/>
      <c r="Q21" s="32"/>
      <c r="R21" s="29"/>
      <c r="S21" s="29"/>
      <c r="T21" s="33" t="str">
        <f aca="false">IF(AH21="Void – logged in error","",IF(OR(C21="",S21=""),IF(C21="","","Decide"),IF(OR(S21="Not reportable",S21="Over-3-day injury (record only)"),"No","Yes")))</f>
        <v/>
      </c>
      <c r="U21" s="34" t="str">
        <f aca="false">IF(OR(C21="",S21=""),"",IF(S21="Over-7-day injury",C21+15,IF(OR(S21="Death",S21="Specified injury",S21="Member of public to hospital",S21="Dangerous occurrence"),C21+10,"")))</f>
        <v/>
      </c>
      <c r="V21" s="28" t="str">
        <f aca="true">IF(C21="","",IF(AH21="Void – logged in error","Void",IF(W21&lt;&gt;"","Done – reported",IF(S21="Occupational disease","REPORT NOW – on diagnosis",IF(ISNUMBER(U21),IF(U21&lt;TODAY(),"OVERDUE – report now",IF(U21=TODAY(),"DUE TODAY",IF(U21-TODAY()&lt;='Start here'!$C$7,"DUE in "&amp;(U21-TODAY())&amp;" days",IF(OR(S21="Death",S21="Specified injury",S21="Member of public to hospital",S21="Dangerous occurrence"),"REPORT without delay","Report by date shown")))),IF(AND(N(Q21)&gt;7,OR(S21="",S21="Not reportable",S21="Over-3-day injury (record only)")),"CHECK – over 7 days off",IF(S21="","Decide RIDDOR",IF(S21="Over-3-day injury (record only)","Record only","Not reportable"))))))))</f>
        <v/>
      </c>
      <c r="W21" s="30"/>
      <c r="X21" s="29"/>
      <c r="Y21" s="32"/>
      <c r="Z21" s="29"/>
      <c r="AA21" s="35"/>
      <c r="AB21" s="29"/>
      <c r="AC21" s="29"/>
      <c r="AD21" s="29"/>
      <c r="AE21" s="29"/>
      <c r="AF21" s="29"/>
      <c r="AG21" s="30"/>
      <c r="AH21" s="29"/>
      <c r="AI21" s="36" t="str">
        <f aca="true">IF(OR(C21="",AH21="Closed",AH21="Void – logged in error",AG21=""),"",IF(AG21&lt;TODAY(),"OVERDUE",IF(AG21-TODAY()&lt;='Start here'!$C$8,"Due soon","On track")))</f>
        <v/>
      </c>
      <c r="AJ21" s="29"/>
      <c r="AK21" s="29"/>
      <c r="AL21" s="30"/>
      <c r="AM21" s="37" t="str">
        <f aca="false">IF(AND(C21&lt;&gt;"",AH21&lt;&gt;"Closed",AH21&lt;&gt;"Void – logged in error",OR(AH21&lt;&gt;"",AD21&lt;&gt;"",AE21&lt;&gt;"",AF21&lt;&gt;"",AG21&lt;&gt;"")),ROW(),"")</f>
        <v/>
      </c>
    </row>
    <row r="22" customFormat="false" ht="30" hidden="false" customHeight="true" outlineLevel="0" collapsed="false">
      <c r="A22" s="28" t="str">
        <f aca="false">IF(C22="","","INC-"&amp;YEAR(C22)&amp;"-"&amp;TEXT(COUNTIFS($C$6:C22,"&gt;="&amp;DATE(YEAR(C22),1,1),$C$6:C22,"&lt;="&amp;DATE(YEAR(C22),12,31)),"000"))</f>
        <v/>
      </c>
      <c r="B22" s="29"/>
      <c r="C22" s="30"/>
      <c r="D22" s="31"/>
      <c r="E22" s="30"/>
      <c r="F22" s="29"/>
      <c r="G22" s="29"/>
      <c r="H22" s="29"/>
      <c r="I22" s="29"/>
      <c r="J22" s="29"/>
      <c r="K22" s="29"/>
      <c r="L22" s="29"/>
      <c r="M22" s="29"/>
      <c r="N22" s="29"/>
      <c r="O22" s="29"/>
      <c r="P22" s="29"/>
      <c r="Q22" s="32"/>
      <c r="R22" s="29"/>
      <c r="S22" s="29"/>
      <c r="T22" s="33" t="str">
        <f aca="false">IF(AH22="Void – logged in error","",IF(OR(C22="",S22=""),IF(C22="","","Decide"),IF(OR(S22="Not reportable",S22="Over-3-day injury (record only)"),"No","Yes")))</f>
        <v/>
      </c>
      <c r="U22" s="34" t="str">
        <f aca="false">IF(OR(C22="",S22=""),"",IF(S22="Over-7-day injury",C22+15,IF(OR(S22="Death",S22="Specified injury",S22="Member of public to hospital",S22="Dangerous occurrence"),C22+10,"")))</f>
        <v/>
      </c>
      <c r="V22" s="28" t="str">
        <f aca="true">IF(C22="","",IF(AH22="Void – logged in error","Void",IF(W22&lt;&gt;"","Done – reported",IF(S22="Occupational disease","REPORT NOW – on diagnosis",IF(ISNUMBER(U22),IF(U22&lt;TODAY(),"OVERDUE – report now",IF(U22=TODAY(),"DUE TODAY",IF(U22-TODAY()&lt;='Start here'!$C$7,"DUE in "&amp;(U22-TODAY())&amp;" days",IF(OR(S22="Death",S22="Specified injury",S22="Member of public to hospital",S22="Dangerous occurrence"),"REPORT without delay","Report by date shown")))),IF(AND(N(Q22)&gt;7,OR(S22="",S22="Not reportable",S22="Over-3-day injury (record only)")),"CHECK – over 7 days off",IF(S22="","Decide RIDDOR",IF(S22="Over-3-day injury (record only)","Record only","Not reportable"))))))))</f>
        <v/>
      </c>
      <c r="W22" s="30"/>
      <c r="X22" s="29"/>
      <c r="Y22" s="32"/>
      <c r="Z22" s="29"/>
      <c r="AA22" s="35"/>
      <c r="AB22" s="29"/>
      <c r="AC22" s="29"/>
      <c r="AD22" s="29"/>
      <c r="AE22" s="29"/>
      <c r="AF22" s="29"/>
      <c r="AG22" s="30"/>
      <c r="AH22" s="29"/>
      <c r="AI22" s="36" t="str">
        <f aca="true">IF(OR(C22="",AH22="Closed",AH22="Void – logged in error",AG22=""),"",IF(AG22&lt;TODAY(),"OVERDUE",IF(AG22-TODAY()&lt;='Start here'!$C$8,"Due soon","On track")))</f>
        <v/>
      </c>
      <c r="AJ22" s="29"/>
      <c r="AK22" s="29"/>
      <c r="AL22" s="30"/>
      <c r="AM22" s="37" t="str">
        <f aca="false">IF(AND(C22&lt;&gt;"",AH22&lt;&gt;"Closed",AH22&lt;&gt;"Void – logged in error",OR(AH22&lt;&gt;"",AD22&lt;&gt;"",AE22&lt;&gt;"",AF22&lt;&gt;"",AG22&lt;&gt;"")),ROW(),"")</f>
        <v/>
      </c>
    </row>
    <row r="23" customFormat="false" ht="30" hidden="false" customHeight="true" outlineLevel="0" collapsed="false">
      <c r="A23" s="28" t="str">
        <f aca="false">IF(C23="","","INC-"&amp;YEAR(C23)&amp;"-"&amp;TEXT(COUNTIFS($C$6:C23,"&gt;="&amp;DATE(YEAR(C23),1,1),$C$6:C23,"&lt;="&amp;DATE(YEAR(C23),12,31)),"000"))</f>
        <v/>
      </c>
      <c r="B23" s="29"/>
      <c r="C23" s="30"/>
      <c r="D23" s="31"/>
      <c r="E23" s="30"/>
      <c r="F23" s="29"/>
      <c r="G23" s="29"/>
      <c r="H23" s="29"/>
      <c r="I23" s="29"/>
      <c r="J23" s="29"/>
      <c r="K23" s="29"/>
      <c r="L23" s="29"/>
      <c r="M23" s="29"/>
      <c r="N23" s="29"/>
      <c r="O23" s="29"/>
      <c r="P23" s="29"/>
      <c r="Q23" s="32"/>
      <c r="R23" s="29"/>
      <c r="S23" s="29"/>
      <c r="T23" s="33" t="str">
        <f aca="false">IF(AH23="Void – logged in error","",IF(OR(C23="",S23=""),IF(C23="","","Decide"),IF(OR(S23="Not reportable",S23="Over-3-day injury (record only)"),"No","Yes")))</f>
        <v/>
      </c>
      <c r="U23" s="34" t="str">
        <f aca="false">IF(OR(C23="",S23=""),"",IF(S23="Over-7-day injury",C23+15,IF(OR(S23="Death",S23="Specified injury",S23="Member of public to hospital",S23="Dangerous occurrence"),C23+10,"")))</f>
        <v/>
      </c>
      <c r="V23" s="28" t="str">
        <f aca="true">IF(C23="","",IF(AH23="Void – logged in error","Void",IF(W23&lt;&gt;"","Done – reported",IF(S23="Occupational disease","REPORT NOW – on diagnosis",IF(ISNUMBER(U23),IF(U23&lt;TODAY(),"OVERDUE – report now",IF(U23=TODAY(),"DUE TODAY",IF(U23-TODAY()&lt;='Start here'!$C$7,"DUE in "&amp;(U23-TODAY())&amp;" days",IF(OR(S23="Death",S23="Specified injury",S23="Member of public to hospital",S23="Dangerous occurrence"),"REPORT without delay","Report by date shown")))),IF(AND(N(Q23)&gt;7,OR(S23="",S23="Not reportable",S23="Over-3-day injury (record only)")),"CHECK – over 7 days off",IF(S23="","Decide RIDDOR",IF(S23="Over-3-day injury (record only)","Record only","Not reportable"))))))))</f>
        <v/>
      </c>
      <c r="W23" s="30"/>
      <c r="X23" s="29"/>
      <c r="Y23" s="32"/>
      <c r="Z23" s="29"/>
      <c r="AA23" s="35"/>
      <c r="AB23" s="29"/>
      <c r="AC23" s="29"/>
      <c r="AD23" s="29"/>
      <c r="AE23" s="29"/>
      <c r="AF23" s="29"/>
      <c r="AG23" s="30"/>
      <c r="AH23" s="29"/>
      <c r="AI23" s="36" t="str">
        <f aca="true">IF(OR(C23="",AH23="Closed",AH23="Void – logged in error",AG23=""),"",IF(AG23&lt;TODAY(),"OVERDUE",IF(AG23-TODAY()&lt;='Start here'!$C$8,"Due soon","On track")))</f>
        <v/>
      </c>
      <c r="AJ23" s="29"/>
      <c r="AK23" s="29"/>
      <c r="AL23" s="30"/>
      <c r="AM23" s="37" t="str">
        <f aca="false">IF(AND(C23&lt;&gt;"",AH23&lt;&gt;"Closed",AH23&lt;&gt;"Void – logged in error",OR(AH23&lt;&gt;"",AD23&lt;&gt;"",AE23&lt;&gt;"",AF23&lt;&gt;"",AG23&lt;&gt;"")),ROW(),"")</f>
        <v/>
      </c>
    </row>
    <row r="24" customFormat="false" ht="30" hidden="false" customHeight="true" outlineLevel="0" collapsed="false">
      <c r="A24" s="28" t="str">
        <f aca="false">IF(C24="","","INC-"&amp;YEAR(C24)&amp;"-"&amp;TEXT(COUNTIFS($C$6:C24,"&gt;="&amp;DATE(YEAR(C24),1,1),$C$6:C24,"&lt;="&amp;DATE(YEAR(C24),12,31)),"000"))</f>
        <v/>
      </c>
      <c r="B24" s="29"/>
      <c r="C24" s="30"/>
      <c r="D24" s="31"/>
      <c r="E24" s="30"/>
      <c r="F24" s="29"/>
      <c r="G24" s="29"/>
      <c r="H24" s="29"/>
      <c r="I24" s="29"/>
      <c r="J24" s="29"/>
      <c r="K24" s="29"/>
      <c r="L24" s="29"/>
      <c r="M24" s="29"/>
      <c r="N24" s="29"/>
      <c r="O24" s="29"/>
      <c r="P24" s="29"/>
      <c r="Q24" s="32"/>
      <c r="R24" s="29"/>
      <c r="S24" s="29"/>
      <c r="T24" s="33" t="str">
        <f aca="false">IF(AH24="Void – logged in error","",IF(OR(C24="",S24=""),IF(C24="","","Decide"),IF(OR(S24="Not reportable",S24="Over-3-day injury (record only)"),"No","Yes")))</f>
        <v/>
      </c>
      <c r="U24" s="34" t="str">
        <f aca="false">IF(OR(C24="",S24=""),"",IF(S24="Over-7-day injury",C24+15,IF(OR(S24="Death",S24="Specified injury",S24="Member of public to hospital",S24="Dangerous occurrence"),C24+10,"")))</f>
        <v/>
      </c>
      <c r="V24" s="28" t="str">
        <f aca="true">IF(C24="","",IF(AH24="Void – logged in error","Void",IF(W24&lt;&gt;"","Done – reported",IF(S24="Occupational disease","REPORT NOW – on diagnosis",IF(ISNUMBER(U24),IF(U24&lt;TODAY(),"OVERDUE – report now",IF(U24=TODAY(),"DUE TODAY",IF(U24-TODAY()&lt;='Start here'!$C$7,"DUE in "&amp;(U24-TODAY())&amp;" days",IF(OR(S24="Death",S24="Specified injury",S24="Member of public to hospital",S24="Dangerous occurrence"),"REPORT without delay","Report by date shown")))),IF(AND(N(Q24)&gt;7,OR(S24="",S24="Not reportable",S24="Over-3-day injury (record only)")),"CHECK – over 7 days off",IF(S24="","Decide RIDDOR",IF(S24="Over-3-day injury (record only)","Record only","Not reportable"))))))))</f>
        <v/>
      </c>
      <c r="W24" s="30"/>
      <c r="X24" s="29"/>
      <c r="Y24" s="32"/>
      <c r="Z24" s="29"/>
      <c r="AA24" s="35"/>
      <c r="AB24" s="29"/>
      <c r="AC24" s="29"/>
      <c r="AD24" s="29"/>
      <c r="AE24" s="29"/>
      <c r="AF24" s="29"/>
      <c r="AG24" s="30"/>
      <c r="AH24" s="29"/>
      <c r="AI24" s="36" t="str">
        <f aca="true">IF(OR(C24="",AH24="Closed",AH24="Void – logged in error",AG24=""),"",IF(AG24&lt;TODAY(),"OVERDUE",IF(AG24-TODAY()&lt;='Start here'!$C$8,"Due soon","On track")))</f>
        <v/>
      </c>
      <c r="AJ24" s="29"/>
      <c r="AK24" s="29"/>
      <c r="AL24" s="30"/>
      <c r="AM24" s="37" t="str">
        <f aca="false">IF(AND(C24&lt;&gt;"",AH24&lt;&gt;"Closed",AH24&lt;&gt;"Void – logged in error",OR(AH24&lt;&gt;"",AD24&lt;&gt;"",AE24&lt;&gt;"",AF24&lt;&gt;"",AG24&lt;&gt;"")),ROW(),"")</f>
        <v/>
      </c>
    </row>
    <row r="25" customFormat="false" ht="30" hidden="false" customHeight="true" outlineLevel="0" collapsed="false">
      <c r="A25" s="28" t="str">
        <f aca="false">IF(C25="","","INC-"&amp;YEAR(C25)&amp;"-"&amp;TEXT(COUNTIFS($C$6:C25,"&gt;="&amp;DATE(YEAR(C25),1,1),$C$6:C25,"&lt;="&amp;DATE(YEAR(C25),12,31)),"000"))</f>
        <v/>
      </c>
      <c r="B25" s="29"/>
      <c r="C25" s="30"/>
      <c r="D25" s="31"/>
      <c r="E25" s="30"/>
      <c r="F25" s="29"/>
      <c r="G25" s="29"/>
      <c r="H25" s="29"/>
      <c r="I25" s="29"/>
      <c r="J25" s="29"/>
      <c r="K25" s="29"/>
      <c r="L25" s="29"/>
      <c r="M25" s="29"/>
      <c r="N25" s="29"/>
      <c r="O25" s="29"/>
      <c r="P25" s="29"/>
      <c r="Q25" s="32"/>
      <c r="R25" s="29"/>
      <c r="S25" s="29"/>
      <c r="T25" s="33" t="str">
        <f aca="false">IF(AH25="Void – logged in error","",IF(OR(C25="",S25=""),IF(C25="","","Decide"),IF(OR(S25="Not reportable",S25="Over-3-day injury (record only)"),"No","Yes")))</f>
        <v/>
      </c>
      <c r="U25" s="34" t="str">
        <f aca="false">IF(OR(C25="",S25=""),"",IF(S25="Over-7-day injury",C25+15,IF(OR(S25="Death",S25="Specified injury",S25="Member of public to hospital",S25="Dangerous occurrence"),C25+10,"")))</f>
        <v/>
      </c>
      <c r="V25" s="28" t="str">
        <f aca="true">IF(C25="","",IF(AH25="Void – logged in error","Void",IF(W25&lt;&gt;"","Done – reported",IF(S25="Occupational disease","REPORT NOW – on diagnosis",IF(ISNUMBER(U25),IF(U25&lt;TODAY(),"OVERDUE – report now",IF(U25=TODAY(),"DUE TODAY",IF(U25-TODAY()&lt;='Start here'!$C$7,"DUE in "&amp;(U25-TODAY())&amp;" days",IF(OR(S25="Death",S25="Specified injury",S25="Member of public to hospital",S25="Dangerous occurrence"),"REPORT without delay","Report by date shown")))),IF(AND(N(Q25)&gt;7,OR(S25="",S25="Not reportable",S25="Over-3-day injury (record only)")),"CHECK – over 7 days off",IF(S25="","Decide RIDDOR",IF(S25="Over-3-day injury (record only)","Record only","Not reportable"))))))))</f>
        <v/>
      </c>
      <c r="W25" s="30"/>
      <c r="X25" s="29"/>
      <c r="Y25" s="32"/>
      <c r="Z25" s="29"/>
      <c r="AA25" s="35"/>
      <c r="AB25" s="29"/>
      <c r="AC25" s="29"/>
      <c r="AD25" s="29"/>
      <c r="AE25" s="29"/>
      <c r="AF25" s="29"/>
      <c r="AG25" s="30"/>
      <c r="AH25" s="29"/>
      <c r="AI25" s="36" t="str">
        <f aca="true">IF(OR(C25="",AH25="Closed",AH25="Void – logged in error",AG25=""),"",IF(AG25&lt;TODAY(),"OVERDUE",IF(AG25-TODAY()&lt;='Start here'!$C$8,"Due soon","On track")))</f>
        <v/>
      </c>
      <c r="AJ25" s="29"/>
      <c r="AK25" s="29"/>
      <c r="AL25" s="30"/>
      <c r="AM25" s="37" t="str">
        <f aca="false">IF(AND(C25&lt;&gt;"",AH25&lt;&gt;"Closed",AH25&lt;&gt;"Void – logged in error",OR(AH25&lt;&gt;"",AD25&lt;&gt;"",AE25&lt;&gt;"",AF25&lt;&gt;"",AG25&lt;&gt;"")),ROW(),"")</f>
        <v/>
      </c>
    </row>
    <row r="26" customFormat="false" ht="30" hidden="false" customHeight="true" outlineLevel="0" collapsed="false">
      <c r="A26" s="28" t="str">
        <f aca="false">IF(C26="","","INC-"&amp;YEAR(C26)&amp;"-"&amp;TEXT(COUNTIFS($C$6:C26,"&gt;="&amp;DATE(YEAR(C26),1,1),$C$6:C26,"&lt;="&amp;DATE(YEAR(C26),12,31)),"000"))</f>
        <v/>
      </c>
      <c r="B26" s="29"/>
      <c r="C26" s="30"/>
      <c r="D26" s="31"/>
      <c r="E26" s="30"/>
      <c r="F26" s="29"/>
      <c r="G26" s="29"/>
      <c r="H26" s="29"/>
      <c r="I26" s="29"/>
      <c r="J26" s="29"/>
      <c r="K26" s="29"/>
      <c r="L26" s="29"/>
      <c r="M26" s="29"/>
      <c r="N26" s="29"/>
      <c r="O26" s="29"/>
      <c r="P26" s="29"/>
      <c r="Q26" s="32"/>
      <c r="R26" s="29"/>
      <c r="S26" s="29"/>
      <c r="T26" s="33" t="str">
        <f aca="false">IF(AH26="Void – logged in error","",IF(OR(C26="",S26=""),IF(C26="","","Decide"),IF(OR(S26="Not reportable",S26="Over-3-day injury (record only)"),"No","Yes")))</f>
        <v/>
      </c>
      <c r="U26" s="34" t="str">
        <f aca="false">IF(OR(C26="",S26=""),"",IF(S26="Over-7-day injury",C26+15,IF(OR(S26="Death",S26="Specified injury",S26="Member of public to hospital",S26="Dangerous occurrence"),C26+10,"")))</f>
        <v/>
      </c>
      <c r="V26" s="28" t="str">
        <f aca="true">IF(C26="","",IF(AH26="Void – logged in error","Void",IF(W26&lt;&gt;"","Done – reported",IF(S26="Occupational disease","REPORT NOW – on diagnosis",IF(ISNUMBER(U26),IF(U26&lt;TODAY(),"OVERDUE – report now",IF(U26=TODAY(),"DUE TODAY",IF(U26-TODAY()&lt;='Start here'!$C$7,"DUE in "&amp;(U26-TODAY())&amp;" days",IF(OR(S26="Death",S26="Specified injury",S26="Member of public to hospital",S26="Dangerous occurrence"),"REPORT without delay","Report by date shown")))),IF(AND(N(Q26)&gt;7,OR(S26="",S26="Not reportable",S26="Over-3-day injury (record only)")),"CHECK – over 7 days off",IF(S26="","Decide RIDDOR",IF(S26="Over-3-day injury (record only)","Record only","Not reportable"))))))))</f>
        <v/>
      </c>
      <c r="W26" s="30"/>
      <c r="X26" s="29"/>
      <c r="Y26" s="32"/>
      <c r="Z26" s="29"/>
      <c r="AA26" s="35"/>
      <c r="AB26" s="29"/>
      <c r="AC26" s="29"/>
      <c r="AD26" s="29"/>
      <c r="AE26" s="29"/>
      <c r="AF26" s="29"/>
      <c r="AG26" s="30"/>
      <c r="AH26" s="29"/>
      <c r="AI26" s="36" t="str">
        <f aca="true">IF(OR(C26="",AH26="Closed",AH26="Void – logged in error",AG26=""),"",IF(AG26&lt;TODAY(),"OVERDUE",IF(AG26-TODAY()&lt;='Start here'!$C$8,"Due soon","On track")))</f>
        <v/>
      </c>
      <c r="AJ26" s="29"/>
      <c r="AK26" s="29"/>
      <c r="AL26" s="30"/>
      <c r="AM26" s="37" t="str">
        <f aca="false">IF(AND(C26&lt;&gt;"",AH26&lt;&gt;"Closed",AH26&lt;&gt;"Void – logged in error",OR(AH26&lt;&gt;"",AD26&lt;&gt;"",AE26&lt;&gt;"",AF26&lt;&gt;"",AG26&lt;&gt;"")),ROW(),"")</f>
        <v/>
      </c>
    </row>
    <row r="27" customFormat="false" ht="30" hidden="false" customHeight="true" outlineLevel="0" collapsed="false">
      <c r="A27" s="28" t="str">
        <f aca="false">IF(C27="","","INC-"&amp;YEAR(C27)&amp;"-"&amp;TEXT(COUNTIFS($C$6:C27,"&gt;="&amp;DATE(YEAR(C27),1,1),$C$6:C27,"&lt;="&amp;DATE(YEAR(C27),12,31)),"000"))</f>
        <v/>
      </c>
      <c r="B27" s="29"/>
      <c r="C27" s="30"/>
      <c r="D27" s="31"/>
      <c r="E27" s="30"/>
      <c r="F27" s="29"/>
      <c r="G27" s="29"/>
      <c r="H27" s="29"/>
      <c r="I27" s="29"/>
      <c r="J27" s="29"/>
      <c r="K27" s="29"/>
      <c r="L27" s="29"/>
      <c r="M27" s="29"/>
      <c r="N27" s="29"/>
      <c r="O27" s="29"/>
      <c r="P27" s="29"/>
      <c r="Q27" s="32"/>
      <c r="R27" s="29"/>
      <c r="S27" s="29"/>
      <c r="T27" s="33" t="str">
        <f aca="false">IF(AH27="Void – logged in error","",IF(OR(C27="",S27=""),IF(C27="","","Decide"),IF(OR(S27="Not reportable",S27="Over-3-day injury (record only)"),"No","Yes")))</f>
        <v/>
      </c>
      <c r="U27" s="34" t="str">
        <f aca="false">IF(OR(C27="",S27=""),"",IF(S27="Over-7-day injury",C27+15,IF(OR(S27="Death",S27="Specified injury",S27="Member of public to hospital",S27="Dangerous occurrence"),C27+10,"")))</f>
        <v/>
      </c>
      <c r="V27" s="28" t="str">
        <f aca="true">IF(C27="","",IF(AH27="Void – logged in error","Void",IF(W27&lt;&gt;"","Done – reported",IF(S27="Occupational disease","REPORT NOW – on diagnosis",IF(ISNUMBER(U27),IF(U27&lt;TODAY(),"OVERDUE – report now",IF(U27=TODAY(),"DUE TODAY",IF(U27-TODAY()&lt;='Start here'!$C$7,"DUE in "&amp;(U27-TODAY())&amp;" days",IF(OR(S27="Death",S27="Specified injury",S27="Member of public to hospital",S27="Dangerous occurrence"),"REPORT without delay","Report by date shown")))),IF(AND(N(Q27)&gt;7,OR(S27="",S27="Not reportable",S27="Over-3-day injury (record only)")),"CHECK – over 7 days off",IF(S27="","Decide RIDDOR",IF(S27="Over-3-day injury (record only)","Record only","Not reportable"))))))))</f>
        <v/>
      </c>
      <c r="W27" s="30"/>
      <c r="X27" s="29"/>
      <c r="Y27" s="32"/>
      <c r="Z27" s="29"/>
      <c r="AA27" s="35"/>
      <c r="AB27" s="29"/>
      <c r="AC27" s="29"/>
      <c r="AD27" s="29"/>
      <c r="AE27" s="29"/>
      <c r="AF27" s="29"/>
      <c r="AG27" s="30"/>
      <c r="AH27" s="29"/>
      <c r="AI27" s="36" t="str">
        <f aca="true">IF(OR(C27="",AH27="Closed",AH27="Void – logged in error",AG27=""),"",IF(AG27&lt;TODAY(),"OVERDUE",IF(AG27-TODAY()&lt;='Start here'!$C$8,"Due soon","On track")))</f>
        <v/>
      </c>
      <c r="AJ27" s="29"/>
      <c r="AK27" s="29"/>
      <c r="AL27" s="30"/>
      <c r="AM27" s="37" t="str">
        <f aca="false">IF(AND(C27&lt;&gt;"",AH27&lt;&gt;"Closed",AH27&lt;&gt;"Void – logged in error",OR(AH27&lt;&gt;"",AD27&lt;&gt;"",AE27&lt;&gt;"",AF27&lt;&gt;"",AG27&lt;&gt;"")),ROW(),"")</f>
        <v/>
      </c>
    </row>
    <row r="28" customFormat="false" ht="30" hidden="false" customHeight="true" outlineLevel="0" collapsed="false">
      <c r="A28" s="28" t="str">
        <f aca="false">IF(C28="","","INC-"&amp;YEAR(C28)&amp;"-"&amp;TEXT(COUNTIFS($C$6:C28,"&gt;="&amp;DATE(YEAR(C28),1,1),$C$6:C28,"&lt;="&amp;DATE(YEAR(C28),12,31)),"000"))</f>
        <v/>
      </c>
      <c r="B28" s="29"/>
      <c r="C28" s="30"/>
      <c r="D28" s="31"/>
      <c r="E28" s="30"/>
      <c r="F28" s="29"/>
      <c r="G28" s="29"/>
      <c r="H28" s="29"/>
      <c r="I28" s="29"/>
      <c r="J28" s="29"/>
      <c r="K28" s="29"/>
      <c r="L28" s="29"/>
      <c r="M28" s="29"/>
      <c r="N28" s="29"/>
      <c r="O28" s="29"/>
      <c r="P28" s="29"/>
      <c r="Q28" s="32"/>
      <c r="R28" s="29"/>
      <c r="S28" s="29"/>
      <c r="T28" s="33" t="str">
        <f aca="false">IF(AH28="Void – logged in error","",IF(OR(C28="",S28=""),IF(C28="","","Decide"),IF(OR(S28="Not reportable",S28="Over-3-day injury (record only)"),"No","Yes")))</f>
        <v/>
      </c>
      <c r="U28" s="34" t="str">
        <f aca="false">IF(OR(C28="",S28=""),"",IF(S28="Over-7-day injury",C28+15,IF(OR(S28="Death",S28="Specified injury",S28="Member of public to hospital",S28="Dangerous occurrence"),C28+10,"")))</f>
        <v/>
      </c>
      <c r="V28" s="28" t="str">
        <f aca="true">IF(C28="","",IF(AH28="Void – logged in error","Void",IF(W28&lt;&gt;"","Done – reported",IF(S28="Occupational disease","REPORT NOW – on diagnosis",IF(ISNUMBER(U28),IF(U28&lt;TODAY(),"OVERDUE – report now",IF(U28=TODAY(),"DUE TODAY",IF(U28-TODAY()&lt;='Start here'!$C$7,"DUE in "&amp;(U28-TODAY())&amp;" days",IF(OR(S28="Death",S28="Specified injury",S28="Member of public to hospital",S28="Dangerous occurrence"),"REPORT without delay","Report by date shown")))),IF(AND(N(Q28)&gt;7,OR(S28="",S28="Not reportable",S28="Over-3-day injury (record only)")),"CHECK – over 7 days off",IF(S28="","Decide RIDDOR",IF(S28="Over-3-day injury (record only)","Record only","Not reportable"))))))))</f>
        <v/>
      </c>
      <c r="W28" s="30"/>
      <c r="X28" s="29"/>
      <c r="Y28" s="32"/>
      <c r="Z28" s="29"/>
      <c r="AA28" s="35"/>
      <c r="AB28" s="29"/>
      <c r="AC28" s="29"/>
      <c r="AD28" s="29"/>
      <c r="AE28" s="29"/>
      <c r="AF28" s="29"/>
      <c r="AG28" s="30"/>
      <c r="AH28" s="29"/>
      <c r="AI28" s="36" t="str">
        <f aca="true">IF(OR(C28="",AH28="Closed",AH28="Void – logged in error",AG28=""),"",IF(AG28&lt;TODAY(),"OVERDUE",IF(AG28-TODAY()&lt;='Start here'!$C$8,"Due soon","On track")))</f>
        <v/>
      </c>
      <c r="AJ28" s="29"/>
      <c r="AK28" s="29"/>
      <c r="AL28" s="30"/>
      <c r="AM28" s="37" t="str">
        <f aca="false">IF(AND(C28&lt;&gt;"",AH28&lt;&gt;"Closed",AH28&lt;&gt;"Void – logged in error",OR(AH28&lt;&gt;"",AD28&lt;&gt;"",AE28&lt;&gt;"",AF28&lt;&gt;"",AG28&lt;&gt;"")),ROW(),"")</f>
        <v/>
      </c>
    </row>
    <row r="29" customFormat="false" ht="30" hidden="false" customHeight="true" outlineLevel="0" collapsed="false">
      <c r="A29" s="28" t="str">
        <f aca="false">IF(C29="","","INC-"&amp;YEAR(C29)&amp;"-"&amp;TEXT(COUNTIFS($C$6:C29,"&gt;="&amp;DATE(YEAR(C29),1,1),$C$6:C29,"&lt;="&amp;DATE(YEAR(C29),12,31)),"000"))</f>
        <v/>
      </c>
      <c r="B29" s="29"/>
      <c r="C29" s="30"/>
      <c r="D29" s="31"/>
      <c r="E29" s="30"/>
      <c r="F29" s="29"/>
      <c r="G29" s="29"/>
      <c r="H29" s="29"/>
      <c r="I29" s="29"/>
      <c r="J29" s="29"/>
      <c r="K29" s="29"/>
      <c r="L29" s="29"/>
      <c r="M29" s="29"/>
      <c r="N29" s="29"/>
      <c r="O29" s="29"/>
      <c r="P29" s="29"/>
      <c r="Q29" s="32"/>
      <c r="R29" s="29"/>
      <c r="S29" s="29"/>
      <c r="T29" s="33" t="str">
        <f aca="false">IF(AH29="Void – logged in error","",IF(OR(C29="",S29=""),IF(C29="","","Decide"),IF(OR(S29="Not reportable",S29="Over-3-day injury (record only)"),"No","Yes")))</f>
        <v/>
      </c>
      <c r="U29" s="34" t="str">
        <f aca="false">IF(OR(C29="",S29=""),"",IF(S29="Over-7-day injury",C29+15,IF(OR(S29="Death",S29="Specified injury",S29="Member of public to hospital",S29="Dangerous occurrence"),C29+10,"")))</f>
        <v/>
      </c>
      <c r="V29" s="28" t="str">
        <f aca="true">IF(C29="","",IF(AH29="Void – logged in error","Void",IF(W29&lt;&gt;"","Done – reported",IF(S29="Occupational disease","REPORT NOW – on diagnosis",IF(ISNUMBER(U29),IF(U29&lt;TODAY(),"OVERDUE – report now",IF(U29=TODAY(),"DUE TODAY",IF(U29-TODAY()&lt;='Start here'!$C$7,"DUE in "&amp;(U29-TODAY())&amp;" days",IF(OR(S29="Death",S29="Specified injury",S29="Member of public to hospital",S29="Dangerous occurrence"),"REPORT without delay","Report by date shown")))),IF(AND(N(Q29)&gt;7,OR(S29="",S29="Not reportable",S29="Over-3-day injury (record only)")),"CHECK – over 7 days off",IF(S29="","Decide RIDDOR",IF(S29="Over-3-day injury (record only)","Record only","Not reportable"))))))))</f>
        <v/>
      </c>
      <c r="W29" s="30"/>
      <c r="X29" s="29"/>
      <c r="Y29" s="32"/>
      <c r="Z29" s="29"/>
      <c r="AA29" s="35"/>
      <c r="AB29" s="29"/>
      <c r="AC29" s="29"/>
      <c r="AD29" s="29"/>
      <c r="AE29" s="29"/>
      <c r="AF29" s="29"/>
      <c r="AG29" s="30"/>
      <c r="AH29" s="29"/>
      <c r="AI29" s="36" t="str">
        <f aca="true">IF(OR(C29="",AH29="Closed",AH29="Void – logged in error",AG29=""),"",IF(AG29&lt;TODAY(),"OVERDUE",IF(AG29-TODAY()&lt;='Start here'!$C$8,"Due soon","On track")))</f>
        <v/>
      </c>
      <c r="AJ29" s="29"/>
      <c r="AK29" s="29"/>
      <c r="AL29" s="30"/>
      <c r="AM29" s="37" t="str">
        <f aca="false">IF(AND(C29&lt;&gt;"",AH29&lt;&gt;"Closed",AH29&lt;&gt;"Void – logged in error",OR(AH29&lt;&gt;"",AD29&lt;&gt;"",AE29&lt;&gt;"",AF29&lt;&gt;"",AG29&lt;&gt;"")),ROW(),"")</f>
        <v/>
      </c>
    </row>
    <row r="30" customFormat="false" ht="30" hidden="false" customHeight="true" outlineLevel="0" collapsed="false">
      <c r="A30" s="28" t="str">
        <f aca="false">IF(C30="","","INC-"&amp;YEAR(C30)&amp;"-"&amp;TEXT(COUNTIFS($C$6:C30,"&gt;="&amp;DATE(YEAR(C30),1,1),$C$6:C30,"&lt;="&amp;DATE(YEAR(C30),12,31)),"000"))</f>
        <v/>
      </c>
      <c r="B30" s="29"/>
      <c r="C30" s="30"/>
      <c r="D30" s="31"/>
      <c r="E30" s="30"/>
      <c r="F30" s="29"/>
      <c r="G30" s="29"/>
      <c r="H30" s="29"/>
      <c r="I30" s="29"/>
      <c r="J30" s="29"/>
      <c r="K30" s="29"/>
      <c r="L30" s="29"/>
      <c r="M30" s="29"/>
      <c r="N30" s="29"/>
      <c r="O30" s="29"/>
      <c r="P30" s="29"/>
      <c r="Q30" s="32"/>
      <c r="R30" s="29"/>
      <c r="S30" s="29"/>
      <c r="T30" s="33" t="str">
        <f aca="false">IF(AH30="Void – logged in error","",IF(OR(C30="",S30=""),IF(C30="","","Decide"),IF(OR(S30="Not reportable",S30="Over-3-day injury (record only)"),"No","Yes")))</f>
        <v/>
      </c>
      <c r="U30" s="34" t="str">
        <f aca="false">IF(OR(C30="",S30=""),"",IF(S30="Over-7-day injury",C30+15,IF(OR(S30="Death",S30="Specified injury",S30="Member of public to hospital",S30="Dangerous occurrence"),C30+10,"")))</f>
        <v/>
      </c>
      <c r="V30" s="28" t="str">
        <f aca="true">IF(C30="","",IF(AH30="Void – logged in error","Void",IF(W30&lt;&gt;"","Done – reported",IF(S30="Occupational disease","REPORT NOW – on diagnosis",IF(ISNUMBER(U30),IF(U30&lt;TODAY(),"OVERDUE – report now",IF(U30=TODAY(),"DUE TODAY",IF(U30-TODAY()&lt;='Start here'!$C$7,"DUE in "&amp;(U30-TODAY())&amp;" days",IF(OR(S30="Death",S30="Specified injury",S30="Member of public to hospital",S30="Dangerous occurrence"),"REPORT without delay","Report by date shown")))),IF(AND(N(Q30)&gt;7,OR(S30="",S30="Not reportable",S30="Over-3-day injury (record only)")),"CHECK – over 7 days off",IF(S30="","Decide RIDDOR",IF(S30="Over-3-day injury (record only)","Record only","Not reportable"))))))))</f>
        <v/>
      </c>
      <c r="W30" s="30"/>
      <c r="X30" s="29"/>
      <c r="Y30" s="32"/>
      <c r="Z30" s="29"/>
      <c r="AA30" s="35"/>
      <c r="AB30" s="29"/>
      <c r="AC30" s="29"/>
      <c r="AD30" s="29"/>
      <c r="AE30" s="29"/>
      <c r="AF30" s="29"/>
      <c r="AG30" s="30"/>
      <c r="AH30" s="29"/>
      <c r="AI30" s="36" t="str">
        <f aca="true">IF(OR(C30="",AH30="Closed",AH30="Void – logged in error",AG30=""),"",IF(AG30&lt;TODAY(),"OVERDUE",IF(AG30-TODAY()&lt;='Start here'!$C$8,"Due soon","On track")))</f>
        <v/>
      </c>
      <c r="AJ30" s="29"/>
      <c r="AK30" s="29"/>
      <c r="AL30" s="30"/>
      <c r="AM30" s="37" t="str">
        <f aca="false">IF(AND(C30&lt;&gt;"",AH30&lt;&gt;"Closed",AH30&lt;&gt;"Void – logged in error",OR(AH30&lt;&gt;"",AD30&lt;&gt;"",AE30&lt;&gt;"",AF30&lt;&gt;"",AG30&lt;&gt;"")),ROW(),"")</f>
        <v/>
      </c>
    </row>
    <row r="31" customFormat="false" ht="30" hidden="false" customHeight="true" outlineLevel="0" collapsed="false">
      <c r="A31" s="28" t="str">
        <f aca="false">IF(C31="","","INC-"&amp;YEAR(C31)&amp;"-"&amp;TEXT(COUNTIFS($C$6:C31,"&gt;="&amp;DATE(YEAR(C31),1,1),$C$6:C31,"&lt;="&amp;DATE(YEAR(C31),12,31)),"000"))</f>
        <v/>
      </c>
      <c r="B31" s="29"/>
      <c r="C31" s="30"/>
      <c r="D31" s="31"/>
      <c r="E31" s="30"/>
      <c r="F31" s="29"/>
      <c r="G31" s="29"/>
      <c r="H31" s="29"/>
      <c r="I31" s="29"/>
      <c r="J31" s="29"/>
      <c r="K31" s="29"/>
      <c r="L31" s="29"/>
      <c r="M31" s="29"/>
      <c r="N31" s="29"/>
      <c r="O31" s="29"/>
      <c r="P31" s="29"/>
      <c r="Q31" s="32"/>
      <c r="R31" s="29"/>
      <c r="S31" s="29"/>
      <c r="T31" s="33" t="str">
        <f aca="false">IF(AH31="Void – logged in error","",IF(OR(C31="",S31=""),IF(C31="","","Decide"),IF(OR(S31="Not reportable",S31="Over-3-day injury (record only)"),"No","Yes")))</f>
        <v/>
      </c>
      <c r="U31" s="34" t="str">
        <f aca="false">IF(OR(C31="",S31=""),"",IF(S31="Over-7-day injury",C31+15,IF(OR(S31="Death",S31="Specified injury",S31="Member of public to hospital",S31="Dangerous occurrence"),C31+10,"")))</f>
        <v/>
      </c>
      <c r="V31" s="28" t="str">
        <f aca="true">IF(C31="","",IF(AH31="Void – logged in error","Void",IF(W31&lt;&gt;"","Done – reported",IF(S31="Occupational disease","REPORT NOW – on diagnosis",IF(ISNUMBER(U31),IF(U31&lt;TODAY(),"OVERDUE – report now",IF(U31=TODAY(),"DUE TODAY",IF(U31-TODAY()&lt;='Start here'!$C$7,"DUE in "&amp;(U31-TODAY())&amp;" days",IF(OR(S31="Death",S31="Specified injury",S31="Member of public to hospital",S31="Dangerous occurrence"),"REPORT without delay","Report by date shown")))),IF(AND(N(Q31)&gt;7,OR(S31="",S31="Not reportable",S31="Over-3-day injury (record only)")),"CHECK – over 7 days off",IF(S31="","Decide RIDDOR",IF(S31="Over-3-day injury (record only)","Record only","Not reportable"))))))))</f>
        <v/>
      </c>
      <c r="W31" s="30"/>
      <c r="X31" s="29"/>
      <c r="Y31" s="32"/>
      <c r="Z31" s="29"/>
      <c r="AA31" s="35"/>
      <c r="AB31" s="29"/>
      <c r="AC31" s="29"/>
      <c r="AD31" s="29"/>
      <c r="AE31" s="29"/>
      <c r="AF31" s="29"/>
      <c r="AG31" s="30"/>
      <c r="AH31" s="29"/>
      <c r="AI31" s="36" t="str">
        <f aca="true">IF(OR(C31="",AH31="Closed",AH31="Void – logged in error",AG31=""),"",IF(AG31&lt;TODAY(),"OVERDUE",IF(AG31-TODAY()&lt;='Start here'!$C$8,"Due soon","On track")))</f>
        <v/>
      </c>
      <c r="AJ31" s="29"/>
      <c r="AK31" s="29"/>
      <c r="AL31" s="30"/>
      <c r="AM31" s="37" t="str">
        <f aca="false">IF(AND(C31&lt;&gt;"",AH31&lt;&gt;"Closed",AH31&lt;&gt;"Void – logged in error",OR(AH31&lt;&gt;"",AD31&lt;&gt;"",AE31&lt;&gt;"",AF31&lt;&gt;"",AG31&lt;&gt;"")),ROW(),"")</f>
        <v/>
      </c>
    </row>
    <row r="32" customFormat="false" ht="30" hidden="false" customHeight="true" outlineLevel="0" collapsed="false">
      <c r="A32" s="28" t="str">
        <f aca="false">IF(C32="","","INC-"&amp;YEAR(C32)&amp;"-"&amp;TEXT(COUNTIFS($C$6:C32,"&gt;="&amp;DATE(YEAR(C32),1,1),$C$6:C32,"&lt;="&amp;DATE(YEAR(C32),12,31)),"000"))</f>
        <v/>
      </c>
      <c r="B32" s="29"/>
      <c r="C32" s="30"/>
      <c r="D32" s="31"/>
      <c r="E32" s="30"/>
      <c r="F32" s="29"/>
      <c r="G32" s="29"/>
      <c r="H32" s="29"/>
      <c r="I32" s="29"/>
      <c r="J32" s="29"/>
      <c r="K32" s="29"/>
      <c r="L32" s="29"/>
      <c r="M32" s="29"/>
      <c r="N32" s="29"/>
      <c r="O32" s="29"/>
      <c r="P32" s="29"/>
      <c r="Q32" s="32"/>
      <c r="R32" s="29"/>
      <c r="S32" s="29"/>
      <c r="T32" s="33" t="str">
        <f aca="false">IF(AH32="Void – logged in error","",IF(OR(C32="",S32=""),IF(C32="","","Decide"),IF(OR(S32="Not reportable",S32="Over-3-day injury (record only)"),"No","Yes")))</f>
        <v/>
      </c>
      <c r="U32" s="34" t="str">
        <f aca="false">IF(OR(C32="",S32=""),"",IF(S32="Over-7-day injury",C32+15,IF(OR(S32="Death",S32="Specified injury",S32="Member of public to hospital",S32="Dangerous occurrence"),C32+10,"")))</f>
        <v/>
      </c>
      <c r="V32" s="28" t="str">
        <f aca="true">IF(C32="","",IF(AH32="Void – logged in error","Void",IF(W32&lt;&gt;"","Done – reported",IF(S32="Occupational disease","REPORT NOW – on diagnosis",IF(ISNUMBER(U32),IF(U32&lt;TODAY(),"OVERDUE – report now",IF(U32=TODAY(),"DUE TODAY",IF(U32-TODAY()&lt;='Start here'!$C$7,"DUE in "&amp;(U32-TODAY())&amp;" days",IF(OR(S32="Death",S32="Specified injury",S32="Member of public to hospital",S32="Dangerous occurrence"),"REPORT without delay","Report by date shown")))),IF(AND(N(Q32)&gt;7,OR(S32="",S32="Not reportable",S32="Over-3-day injury (record only)")),"CHECK – over 7 days off",IF(S32="","Decide RIDDOR",IF(S32="Over-3-day injury (record only)","Record only","Not reportable"))))))))</f>
        <v/>
      </c>
      <c r="W32" s="30"/>
      <c r="X32" s="29"/>
      <c r="Y32" s="32"/>
      <c r="Z32" s="29"/>
      <c r="AA32" s="35"/>
      <c r="AB32" s="29"/>
      <c r="AC32" s="29"/>
      <c r="AD32" s="29"/>
      <c r="AE32" s="29"/>
      <c r="AF32" s="29"/>
      <c r="AG32" s="30"/>
      <c r="AH32" s="29"/>
      <c r="AI32" s="36" t="str">
        <f aca="true">IF(OR(C32="",AH32="Closed",AH32="Void – logged in error",AG32=""),"",IF(AG32&lt;TODAY(),"OVERDUE",IF(AG32-TODAY()&lt;='Start here'!$C$8,"Due soon","On track")))</f>
        <v/>
      </c>
      <c r="AJ32" s="29"/>
      <c r="AK32" s="29"/>
      <c r="AL32" s="30"/>
      <c r="AM32" s="37" t="str">
        <f aca="false">IF(AND(C32&lt;&gt;"",AH32&lt;&gt;"Closed",AH32&lt;&gt;"Void – logged in error",OR(AH32&lt;&gt;"",AD32&lt;&gt;"",AE32&lt;&gt;"",AF32&lt;&gt;"",AG32&lt;&gt;"")),ROW(),"")</f>
        <v/>
      </c>
    </row>
    <row r="33" customFormat="false" ht="30" hidden="false" customHeight="true" outlineLevel="0" collapsed="false">
      <c r="A33" s="28" t="str">
        <f aca="false">IF(C33="","","INC-"&amp;YEAR(C33)&amp;"-"&amp;TEXT(COUNTIFS($C$6:C33,"&gt;="&amp;DATE(YEAR(C33),1,1),$C$6:C33,"&lt;="&amp;DATE(YEAR(C33),12,31)),"000"))</f>
        <v/>
      </c>
      <c r="B33" s="29"/>
      <c r="C33" s="30"/>
      <c r="D33" s="31"/>
      <c r="E33" s="30"/>
      <c r="F33" s="29"/>
      <c r="G33" s="29"/>
      <c r="H33" s="29"/>
      <c r="I33" s="29"/>
      <c r="J33" s="29"/>
      <c r="K33" s="29"/>
      <c r="L33" s="29"/>
      <c r="M33" s="29"/>
      <c r="N33" s="29"/>
      <c r="O33" s="29"/>
      <c r="P33" s="29"/>
      <c r="Q33" s="32"/>
      <c r="R33" s="29"/>
      <c r="S33" s="29"/>
      <c r="T33" s="33" t="str">
        <f aca="false">IF(AH33="Void – logged in error","",IF(OR(C33="",S33=""),IF(C33="","","Decide"),IF(OR(S33="Not reportable",S33="Over-3-day injury (record only)"),"No","Yes")))</f>
        <v/>
      </c>
      <c r="U33" s="34" t="str">
        <f aca="false">IF(OR(C33="",S33=""),"",IF(S33="Over-7-day injury",C33+15,IF(OR(S33="Death",S33="Specified injury",S33="Member of public to hospital",S33="Dangerous occurrence"),C33+10,"")))</f>
        <v/>
      </c>
      <c r="V33" s="28" t="str">
        <f aca="true">IF(C33="","",IF(AH33="Void – logged in error","Void",IF(W33&lt;&gt;"","Done – reported",IF(S33="Occupational disease","REPORT NOW – on diagnosis",IF(ISNUMBER(U33),IF(U33&lt;TODAY(),"OVERDUE – report now",IF(U33=TODAY(),"DUE TODAY",IF(U33-TODAY()&lt;='Start here'!$C$7,"DUE in "&amp;(U33-TODAY())&amp;" days",IF(OR(S33="Death",S33="Specified injury",S33="Member of public to hospital",S33="Dangerous occurrence"),"REPORT without delay","Report by date shown")))),IF(AND(N(Q33)&gt;7,OR(S33="",S33="Not reportable",S33="Over-3-day injury (record only)")),"CHECK – over 7 days off",IF(S33="","Decide RIDDOR",IF(S33="Over-3-day injury (record only)","Record only","Not reportable"))))))))</f>
        <v/>
      </c>
      <c r="W33" s="30"/>
      <c r="X33" s="29"/>
      <c r="Y33" s="32"/>
      <c r="Z33" s="29"/>
      <c r="AA33" s="35"/>
      <c r="AB33" s="29"/>
      <c r="AC33" s="29"/>
      <c r="AD33" s="29"/>
      <c r="AE33" s="29"/>
      <c r="AF33" s="29"/>
      <c r="AG33" s="30"/>
      <c r="AH33" s="29"/>
      <c r="AI33" s="36" t="str">
        <f aca="true">IF(OR(C33="",AH33="Closed",AH33="Void – logged in error",AG33=""),"",IF(AG33&lt;TODAY(),"OVERDUE",IF(AG33-TODAY()&lt;='Start here'!$C$8,"Due soon","On track")))</f>
        <v/>
      </c>
      <c r="AJ33" s="29"/>
      <c r="AK33" s="29"/>
      <c r="AL33" s="30"/>
      <c r="AM33" s="37" t="str">
        <f aca="false">IF(AND(C33&lt;&gt;"",AH33&lt;&gt;"Closed",AH33&lt;&gt;"Void – logged in error",OR(AH33&lt;&gt;"",AD33&lt;&gt;"",AE33&lt;&gt;"",AF33&lt;&gt;"",AG33&lt;&gt;"")),ROW(),"")</f>
        <v/>
      </c>
    </row>
    <row r="34" customFormat="false" ht="30" hidden="false" customHeight="true" outlineLevel="0" collapsed="false">
      <c r="A34" s="28" t="str">
        <f aca="false">IF(C34="","","INC-"&amp;YEAR(C34)&amp;"-"&amp;TEXT(COUNTIFS($C$6:C34,"&gt;="&amp;DATE(YEAR(C34),1,1),$C$6:C34,"&lt;="&amp;DATE(YEAR(C34),12,31)),"000"))</f>
        <v/>
      </c>
      <c r="B34" s="29"/>
      <c r="C34" s="30"/>
      <c r="D34" s="31"/>
      <c r="E34" s="30"/>
      <c r="F34" s="29"/>
      <c r="G34" s="29"/>
      <c r="H34" s="29"/>
      <c r="I34" s="29"/>
      <c r="J34" s="29"/>
      <c r="K34" s="29"/>
      <c r="L34" s="29"/>
      <c r="M34" s="29"/>
      <c r="N34" s="29"/>
      <c r="O34" s="29"/>
      <c r="P34" s="29"/>
      <c r="Q34" s="32"/>
      <c r="R34" s="29"/>
      <c r="S34" s="29"/>
      <c r="T34" s="33" t="str">
        <f aca="false">IF(AH34="Void – logged in error","",IF(OR(C34="",S34=""),IF(C34="","","Decide"),IF(OR(S34="Not reportable",S34="Over-3-day injury (record only)"),"No","Yes")))</f>
        <v/>
      </c>
      <c r="U34" s="34" t="str">
        <f aca="false">IF(OR(C34="",S34=""),"",IF(S34="Over-7-day injury",C34+15,IF(OR(S34="Death",S34="Specified injury",S34="Member of public to hospital",S34="Dangerous occurrence"),C34+10,"")))</f>
        <v/>
      </c>
      <c r="V34" s="28" t="str">
        <f aca="true">IF(C34="","",IF(AH34="Void – logged in error","Void",IF(W34&lt;&gt;"","Done – reported",IF(S34="Occupational disease","REPORT NOW – on diagnosis",IF(ISNUMBER(U34),IF(U34&lt;TODAY(),"OVERDUE – report now",IF(U34=TODAY(),"DUE TODAY",IF(U34-TODAY()&lt;='Start here'!$C$7,"DUE in "&amp;(U34-TODAY())&amp;" days",IF(OR(S34="Death",S34="Specified injury",S34="Member of public to hospital",S34="Dangerous occurrence"),"REPORT without delay","Report by date shown")))),IF(AND(N(Q34)&gt;7,OR(S34="",S34="Not reportable",S34="Over-3-day injury (record only)")),"CHECK – over 7 days off",IF(S34="","Decide RIDDOR",IF(S34="Over-3-day injury (record only)","Record only","Not reportable"))))))))</f>
        <v/>
      </c>
      <c r="W34" s="30"/>
      <c r="X34" s="29"/>
      <c r="Y34" s="32"/>
      <c r="Z34" s="29"/>
      <c r="AA34" s="35"/>
      <c r="AB34" s="29"/>
      <c r="AC34" s="29"/>
      <c r="AD34" s="29"/>
      <c r="AE34" s="29"/>
      <c r="AF34" s="29"/>
      <c r="AG34" s="30"/>
      <c r="AH34" s="29"/>
      <c r="AI34" s="36" t="str">
        <f aca="true">IF(OR(C34="",AH34="Closed",AH34="Void – logged in error",AG34=""),"",IF(AG34&lt;TODAY(),"OVERDUE",IF(AG34-TODAY()&lt;='Start here'!$C$8,"Due soon","On track")))</f>
        <v/>
      </c>
      <c r="AJ34" s="29"/>
      <c r="AK34" s="29"/>
      <c r="AL34" s="30"/>
      <c r="AM34" s="37" t="str">
        <f aca="false">IF(AND(C34&lt;&gt;"",AH34&lt;&gt;"Closed",AH34&lt;&gt;"Void – logged in error",OR(AH34&lt;&gt;"",AD34&lt;&gt;"",AE34&lt;&gt;"",AF34&lt;&gt;"",AG34&lt;&gt;"")),ROW(),"")</f>
        <v/>
      </c>
    </row>
    <row r="35" customFormat="false" ht="30" hidden="false" customHeight="true" outlineLevel="0" collapsed="false">
      <c r="A35" s="28" t="str">
        <f aca="false">IF(C35="","","INC-"&amp;YEAR(C35)&amp;"-"&amp;TEXT(COUNTIFS($C$6:C35,"&gt;="&amp;DATE(YEAR(C35),1,1),$C$6:C35,"&lt;="&amp;DATE(YEAR(C35),12,31)),"000"))</f>
        <v/>
      </c>
      <c r="B35" s="29"/>
      <c r="C35" s="30"/>
      <c r="D35" s="31"/>
      <c r="E35" s="30"/>
      <c r="F35" s="29"/>
      <c r="G35" s="29"/>
      <c r="H35" s="29"/>
      <c r="I35" s="29"/>
      <c r="J35" s="29"/>
      <c r="K35" s="29"/>
      <c r="L35" s="29"/>
      <c r="M35" s="29"/>
      <c r="N35" s="29"/>
      <c r="O35" s="29"/>
      <c r="P35" s="29"/>
      <c r="Q35" s="32"/>
      <c r="R35" s="29"/>
      <c r="S35" s="29"/>
      <c r="T35" s="33" t="str">
        <f aca="false">IF(AH35="Void – logged in error","",IF(OR(C35="",S35=""),IF(C35="","","Decide"),IF(OR(S35="Not reportable",S35="Over-3-day injury (record only)"),"No","Yes")))</f>
        <v/>
      </c>
      <c r="U35" s="34" t="str">
        <f aca="false">IF(OR(C35="",S35=""),"",IF(S35="Over-7-day injury",C35+15,IF(OR(S35="Death",S35="Specified injury",S35="Member of public to hospital",S35="Dangerous occurrence"),C35+10,"")))</f>
        <v/>
      </c>
      <c r="V35" s="28" t="str">
        <f aca="true">IF(C35="","",IF(AH35="Void – logged in error","Void",IF(W35&lt;&gt;"","Done – reported",IF(S35="Occupational disease","REPORT NOW – on diagnosis",IF(ISNUMBER(U35),IF(U35&lt;TODAY(),"OVERDUE – report now",IF(U35=TODAY(),"DUE TODAY",IF(U35-TODAY()&lt;='Start here'!$C$7,"DUE in "&amp;(U35-TODAY())&amp;" days",IF(OR(S35="Death",S35="Specified injury",S35="Member of public to hospital",S35="Dangerous occurrence"),"REPORT without delay","Report by date shown")))),IF(AND(N(Q35)&gt;7,OR(S35="",S35="Not reportable",S35="Over-3-day injury (record only)")),"CHECK – over 7 days off",IF(S35="","Decide RIDDOR",IF(S35="Over-3-day injury (record only)","Record only","Not reportable"))))))))</f>
        <v/>
      </c>
      <c r="W35" s="30"/>
      <c r="X35" s="29"/>
      <c r="Y35" s="32"/>
      <c r="Z35" s="29"/>
      <c r="AA35" s="35"/>
      <c r="AB35" s="29"/>
      <c r="AC35" s="29"/>
      <c r="AD35" s="29"/>
      <c r="AE35" s="29"/>
      <c r="AF35" s="29"/>
      <c r="AG35" s="30"/>
      <c r="AH35" s="29"/>
      <c r="AI35" s="36" t="str">
        <f aca="true">IF(OR(C35="",AH35="Closed",AH35="Void – logged in error",AG35=""),"",IF(AG35&lt;TODAY(),"OVERDUE",IF(AG35-TODAY()&lt;='Start here'!$C$8,"Due soon","On track")))</f>
        <v/>
      </c>
      <c r="AJ35" s="29"/>
      <c r="AK35" s="29"/>
      <c r="AL35" s="30"/>
      <c r="AM35" s="37" t="str">
        <f aca="false">IF(AND(C35&lt;&gt;"",AH35&lt;&gt;"Closed",AH35&lt;&gt;"Void – logged in error",OR(AH35&lt;&gt;"",AD35&lt;&gt;"",AE35&lt;&gt;"",AF35&lt;&gt;"",AG35&lt;&gt;"")),ROW(),"")</f>
        <v/>
      </c>
    </row>
    <row r="36" customFormat="false" ht="30" hidden="false" customHeight="true" outlineLevel="0" collapsed="false">
      <c r="A36" s="28" t="str">
        <f aca="false">IF(C36="","","INC-"&amp;YEAR(C36)&amp;"-"&amp;TEXT(COUNTIFS($C$6:C36,"&gt;="&amp;DATE(YEAR(C36),1,1),$C$6:C36,"&lt;="&amp;DATE(YEAR(C36),12,31)),"000"))</f>
        <v/>
      </c>
      <c r="B36" s="29"/>
      <c r="C36" s="30"/>
      <c r="D36" s="31"/>
      <c r="E36" s="30"/>
      <c r="F36" s="29"/>
      <c r="G36" s="29"/>
      <c r="H36" s="29"/>
      <c r="I36" s="29"/>
      <c r="J36" s="29"/>
      <c r="K36" s="29"/>
      <c r="L36" s="29"/>
      <c r="M36" s="29"/>
      <c r="N36" s="29"/>
      <c r="O36" s="29"/>
      <c r="P36" s="29"/>
      <c r="Q36" s="32"/>
      <c r="R36" s="29"/>
      <c r="S36" s="29"/>
      <c r="T36" s="33" t="str">
        <f aca="false">IF(AH36="Void – logged in error","",IF(OR(C36="",S36=""),IF(C36="","","Decide"),IF(OR(S36="Not reportable",S36="Over-3-day injury (record only)"),"No","Yes")))</f>
        <v/>
      </c>
      <c r="U36" s="34" t="str">
        <f aca="false">IF(OR(C36="",S36=""),"",IF(S36="Over-7-day injury",C36+15,IF(OR(S36="Death",S36="Specified injury",S36="Member of public to hospital",S36="Dangerous occurrence"),C36+10,"")))</f>
        <v/>
      </c>
      <c r="V36" s="28" t="str">
        <f aca="true">IF(C36="","",IF(AH36="Void – logged in error","Void",IF(W36&lt;&gt;"","Done – reported",IF(S36="Occupational disease","REPORT NOW – on diagnosis",IF(ISNUMBER(U36),IF(U36&lt;TODAY(),"OVERDUE – report now",IF(U36=TODAY(),"DUE TODAY",IF(U36-TODAY()&lt;='Start here'!$C$7,"DUE in "&amp;(U36-TODAY())&amp;" days",IF(OR(S36="Death",S36="Specified injury",S36="Member of public to hospital",S36="Dangerous occurrence"),"REPORT without delay","Report by date shown")))),IF(AND(N(Q36)&gt;7,OR(S36="",S36="Not reportable",S36="Over-3-day injury (record only)")),"CHECK – over 7 days off",IF(S36="","Decide RIDDOR",IF(S36="Over-3-day injury (record only)","Record only","Not reportable"))))))))</f>
        <v/>
      </c>
      <c r="W36" s="30"/>
      <c r="X36" s="29"/>
      <c r="Y36" s="32"/>
      <c r="Z36" s="29"/>
      <c r="AA36" s="35"/>
      <c r="AB36" s="29"/>
      <c r="AC36" s="29"/>
      <c r="AD36" s="29"/>
      <c r="AE36" s="29"/>
      <c r="AF36" s="29"/>
      <c r="AG36" s="30"/>
      <c r="AH36" s="29"/>
      <c r="AI36" s="36" t="str">
        <f aca="true">IF(OR(C36="",AH36="Closed",AH36="Void – logged in error",AG36=""),"",IF(AG36&lt;TODAY(),"OVERDUE",IF(AG36-TODAY()&lt;='Start here'!$C$8,"Due soon","On track")))</f>
        <v/>
      </c>
      <c r="AJ36" s="29"/>
      <c r="AK36" s="29"/>
      <c r="AL36" s="30"/>
      <c r="AM36" s="37" t="str">
        <f aca="false">IF(AND(C36&lt;&gt;"",AH36&lt;&gt;"Closed",AH36&lt;&gt;"Void – logged in error",OR(AH36&lt;&gt;"",AD36&lt;&gt;"",AE36&lt;&gt;"",AF36&lt;&gt;"",AG36&lt;&gt;"")),ROW(),"")</f>
        <v/>
      </c>
    </row>
    <row r="37" customFormat="false" ht="30" hidden="false" customHeight="true" outlineLevel="0" collapsed="false">
      <c r="A37" s="28" t="str">
        <f aca="false">IF(C37="","","INC-"&amp;YEAR(C37)&amp;"-"&amp;TEXT(COUNTIFS($C$6:C37,"&gt;="&amp;DATE(YEAR(C37),1,1),$C$6:C37,"&lt;="&amp;DATE(YEAR(C37),12,31)),"000"))</f>
        <v/>
      </c>
      <c r="B37" s="29"/>
      <c r="C37" s="30"/>
      <c r="D37" s="31"/>
      <c r="E37" s="30"/>
      <c r="F37" s="29"/>
      <c r="G37" s="29"/>
      <c r="H37" s="29"/>
      <c r="I37" s="29"/>
      <c r="J37" s="29"/>
      <c r="K37" s="29"/>
      <c r="L37" s="29"/>
      <c r="M37" s="29"/>
      <c r="N37" s="29"/>
      <c r="O37" s="29"/>
      <c r="P37" s="29"/>
      <c r="Q37" s="32"/>
      <c r="R37" s="29"/>
      <c r="S37" s="29"/>
      <c r="T37" s="33" t="str">
        <f aca="false">IF(AH37="Void – logged in error","",IF(OR(C37="",S37=""),IF(C37="","","Decide"),IF(OR(S37="Not reportable",S37="Over-3-day injury (record only)"),"No","Yes")))</f>
        <v/>
      </c>
      <c r="U37" s="34" t="str">
        <f aca="false">IF(OR(C37="",S37=""),"",IF(S37="Over-7-day injury",C37+15,IF(OR(S37="Death",S37="Specified injury",S37="Member of public to hospital",S37="Dangerous occurrence"),C37+10,"")))</f>
        <v/>
      </c>
      <c r="V37" s="28" t="str">
        <f aca="true">IF(C37="","",IF(AH37="Void – logged in error","Void",IF(W37&lt;&gt;"","Done – reported",IF(S37="Occupational disease","REPORT NOW – on diagnosis",IF(ISNUMBER(U37),IF(U37&lt;TODAY(),"OVERDUE – report now",IF(U37=TODAY(),"DUE TODAY",IF(U37-TODAY()&lt;='Start here'!$C$7,"DUE in "&amp;(U37-TODAY())&amp;" days",IF(OR(S37="Death",S37="Specified injury",S37="Member of public to hospital",S37="Dangerous occurrence"),"REPORT without delay","Report by date shown")))),IF(AND(N(Q37)&gt;7,OR(S37="",S37="Not reportable",S37="Over-3-day injury (record only)")),"CHECK – over 7 days off",IF(S37="","Decide RIDDOR",IF(S37="Over-3-day injury (record only)","Record only","Not reportable"))))))))</f>
        <v/>
      </c>
      <c r="W37" s="30"/>
      <c r="X37" s="29"/>
      <c r="Y37" s="32"/>
      <c r="Z37" s="29"/>
      <c r="AA37" s="35"/>
      <c r="AB37" s="29"/>
      <c r="AC37" s="29"/>
      <c r="AD37" s="29"/>
      <c r="AE37" s="29"/>
      <c r="AF37" s="29"/>
      <c r="AG37" s="30"/>
      <c r="AH37" s="29"/>
      <c r="AI37" s="36" t="str">
        <f aca="true">IF(OR(C37="",AH37="Closed",AH37="Void – logged in error",AG37=""),"",IF(AG37&lt;TODAY(),"OVERDUE",IF(AG37-TODAY()&lt;='Start here'!$C$8,"Due soon","On track")))</f>
        <v/>
      </c>
      <c r="AJ37" s="29"/>
      <c r="AK37" s="29"/>
      <c r="AL37" s="30"/>
      <c r="AM37" s="37" t="str">
        <f aca="false">IF(AND(C37&lt;&gt;"",AH37&lt;&gt;"Closed",AH37&lt;&gt;"Void – logged in error",OR(AH37&lt;&gt;"",AD37&lt;&gt;"",AE37&lt;&gt;"",AF37&lt;&gt;"",AG37&lt;&gt;"")),ROW(),"")</f>
        <v/>
      </c>
    </row>
    <row r="38" customFormat="false" ht="30" hidden="false" customHeight="true" outlineLevel="0" collapsed="false">
      <c r="A38" s="28" t="str">
        <f aca="false">IF(C38="","","INC-"&amp;YEAR(C38)&amp;"-"&amp;TEXT(COUNTIFS($C$6:C38,"&gt;="&amp;DATE(YEAR(C38),1,1),$C$6:C38,"&lt;="&amp;DATE(YEAR(C38),12,31)),"000"))</f>
        <v/>
      </c>
      <c r="B38" s="29"/>
      <c r="C38" s="30"/>
      <c r="D38" s="31"/>
      <c r="E38" s="30"/>
      <c r="F38" s="29"/>
      <c r="G38" s="29"/>
      <c r="H38" s="29"/>
      <c r="I38" s="29"/>
      <c r="J38" s="29"/>
      <c r="K38" s="29"/>
      <c r="L38" s="29"/>
      <c r="M38" s="29"/>
      <c r="N38" s="29"/>
      <c r="O38" s="29"/>
      <c r="P38" s="29"/>
      <c r="Q38" s="32"/>
      <c r="R38" s="29"/>
      <c r="S38" s="29"/>
      <c r="T38" s="33" t="str">
        <f aca="false">IF(AH38="Void – logged in error","",IF(OR(C38="",S38=""),IF(C38="","","Decide"),IF(OR(S38="Not reportable",S38="Over-3-day injury (record only)"),"No","Yes")))</f>
        <v/>
      </c>
      <c r="U38" s="34" t="str">
        <f aca="false">IF(OR(C38="",S38=""),"",IF(S38="Over-7-day injury",C38+15,IF(OR(S38="Death",S38="Specified injury",S38="Member of public to hospital",S38="Dangerous occurrence"),C38+10,"")))</f>
        <v/>
      </c>
      <c r="V38" s="28" t="str">
        <f aca="true">IF(C38="","",IF(AH38="Void – logged in error","Void",IF(W38&lt;&gt;"","Done – reported",IF(S38="Occupational disease","REPORT NOW – on diagnosis",IF(ISNUMBER(U38),IF(U38&lt;TODAY(),"OVERDUE – report now",IF(U38=TODAY(),"DUE TODAY",IF(U38-TODAY()&lt;='Start here'!$C$7,"DUE in "&amp;(U38-TODAY())&amp;" days",IF(OR(S38="Death",S38="Specified injury",S38="Member of public to hospital",S38="Dangerous occurrence"),"REPORT without delay","Report by date shown")))),IF(AND(N(Q38)&gt;7,OR(S38="",S38="Not reportable",S38="Over-3-day injury (record only)")),"CHECK – over 7 days off",IF(S38="","Decide RIDDOR",IF(S38="Over-3-day injury (record only)","Record only","Not reportable"))))))))</f>
        <v/>
      </c>
      <c r="W38" s="30"/>
      <c r="X38" s="29"/>
      <c r="Y38" s="32"/>
      <c r="Z38" s="29"/>
      <c r="AA38" s="35"/>
      <c r="AB38" s="29"/>
      <c r="AC38" s="29"/>
      <c r="AD38" s="29"/>
      <c r="AE38" s="29"/>
      <c r="AF38" s="29"/>
      <c r="AG38" s="30"/>
      <c r="AH38" s="29"/>
      <c r="AI38" s="36" t="str">
        <f aca="true">IF(OR(C38="",AH38="Closed",AH38="Void – logged in error",AG38=""),"",IF(AG38&lt;TODAY(),"OVERDUE",IF(AG38-TODAY()&lt;='Start here'!$C$8,"Due soon","On track")))</f>
        <v/>
      </c>
      <c r="AJ38" s="29"/>
      <c r="AK38" s="29"/>
      <c r="AL38" s="30"/>
      <c r="AM38" s="37" t="str">
        <f aca="false">IF(AND(C38&lt;&gt;"",AH38&lt;&gt;"Closed",AH38&lt;&gt;"Void – logged in error",OR(AH38&lt;&gt;"",AD38&lt;&gt;"",AE38&lt;&gt;"",AF38&lt;&gt;"",AG38&lt;&gt;"")),ROW(),"")</f>
        <v/>
      </c>
    </row>
    <row r="39" customFormat="false" ht="30" hidden="false" customHeight="true" outlineLevel="0" collapsed="false">
      <c r="A39" s="28" t="str">
        <f aca="false">IF(C39="","","INC-"&amp;YEAR(C39)&amp;"-"&amp;TEXT(COUNTIFS($C$6:C39,"&gt;="&amp;DATE(YEAR(C39),1,1),$C$6:C39,"&lt;="&amp;DATE(YEAR(C39),12,31)),"000"))</f>
        <v/>
      </c>
      <c r="B39" s="29"/>
      <c r="C39" s="30"/>
      <c r="D39" s="31"/>
      <c r="E39" s="30"/>
      <c r="F39" s="29"/>
      <c r="G39" s="29"/>
      <c r="H39" s="29"/>
      <c r="I39" s="29"/>
      <c r="J39" s="29"/>
      <c r="K39" s="29"/>
      <c r="L39" s="29"/>
      <c r="M39" s="29"/>
      <c r="N39" s="29"/>
      <c r="O39" s="29"/>
      <c r="P39" s="29"/>
      <c r="Q39" s="32"/>
      <c r="R39" s="29"/>
      <c r="S39" s="29"/>
      <c r="T39" s="33" t="str">
        <f aca="false">IF(AH39="Void – logged in error","",IF(OR(C39="",S39=""),IF(C39="","","Decide"),IF(OR(S39="Not reportable",S39="Over-3-day injury (record only)"),"No","Yes")))</f>
        <v/>
      </c>
      <c r="U39" s="34" t="str">
        <f aca="false">IF(OR(C39="",S39=""),"",IF(S39="Over-7-day injury",C39+15,IF(OR(S39="Death",S39="Specified injury",S39="Member of public to hospital",S39="Dangerous occurrence"),C39+10,"")))</f>
        <v/>
      </c>
      <c r="V39" s="28" t="str">
        <f aca="true">IF(C39="","",IF(AH39="Void – logged in error","Void",IF(W39&lt;&gt;"","Done – reported",IF(S39="Occupational disease","REPORT NOW – on diagnosis",IF(ISNUMBER(U39),IF(U39&lt;TODAY(),"OVERDUE – report now",IF(U39=TODAY(),"DUE TODAY",IF(U39-TODAY()&lt;='Start here'!$C$7,"DUE in "&amp;(U39-TODAY())&amp;" days",IF(OR(S39="Death",S39="Specified injury",S39="Member of public to hospital",S39="Dangerous occurrence"),"REPORT without delay","Report by date shown")))),IF(AND(N(Q39)&gt;7,OR(S39="",S39="Not reportable",S39="Over-3-day injury (record only)")),"CHECK – over 7 days off",IF(S39="","Decide RIDDOR",IF(S39="Over-3-day injury (record only)","Record only","Not reportable"))))))))</f>
        <v/>
      </c>
      <c r="W39" s="30"/>
      <c r="X39" s="29"/>
      <c r="Y39" s="32"/>
      <c r="Z39" s="29"/>
      <c r="AA39" s="35"/>
      <c r="AB39" s="29"/>
      <c r="AC39" s="29"/>
      <c r="AD39" s="29"/>
      <c r="AE39" s="29"/>
      <c r="AF39" s="29"/>
      <c r="AG39" s="30"/>
      <c r="AH39" s="29"/>
      <c r="AI39" s="36" t="str">
        <f aca="true">IF(OR(C39="",AH39="Closed",AH39="Void – logged in error",AG39=""),"",IF(AG39&lt;TODAY(),"OVERDUE",IF(AG39-TODAY()&lt;='Start here'!$C$8,"Due soon","On track")))</f>
        <v/>
      </c>
      <c r="AJ39" s="29"/>
      <c r="AK39" s="29"/>
      <c r="AL39" s="30"/>
      <c r="AM39" s="37" t="str">
        <f aca="false">IF(AND(C39&lt;&gt;"",AH39&lt;&gt;"Closed",AH39&lt;&gt;"Void – logged in error",OR(AH39&lt;&gt;"",AD39&lt;&gt;"",AE39&lt;&gt;"",AF39&lt;&gt;"",AG39&lt;&gt;"")),ROW(),"")</f>
        <v/>
      </c>
    </row>
    <row r="40" customFormat="false" ht="30" hidden="false" customHeight="true" outlineLevel="0" collapsed="false">
      <c r="A40" s="28" t="str">
        <f aca="false">IF(C40="","","INC-"&amp;YEAR(C40)&amp;"-"&amp;TEXT(COUNTIFS($C$6:C40,"&gt;="&amp;DATE(YEAR(C40),1,1),$C$6:C40,"&lt;="&amp;DATE(YEAR(C40),12,31)),"000"))</f>
        <v/>
      </c>
      <c r="B40" s="29"/>
      <c r="C40" s="30"/>
      <c r="D40" s="31"/>
      <c r="E40" s="30"/>
      <c r="F40" s="29"/>
      <c r="G40" s="29"/>
      <c r="H40" s="29"/>
      <c r="I40" s="29"/>
      <c r="J40" s="29"/>
      <c r="K40" s="29"/>
      <c r="L40" s="29"/>
      <c r="M40" s="29"/>
      <c r="N40" s="29"/>
      <c r="O40" s="29"/>
      <c r="P40" s="29"/>
      <c r="Q40" s="32"/>
      <c r="R40" s="29"/>
      <c r="S40" s="29"/>
      <c r="T40" s="33" t="str">
        <f aca="false">IF(AH40="Void – logged in error","",IF(OR(C40="",S40=""),IF(C40="","","Decide"),IF(OR(S40="Not reportable",S40="Over-3-day injury (record only)"),"No","Yes")))</f>
        <v/>
      </c>
      <c r="U40" s="34" t="str">
        <f aca="false">IF(OR(C40="",S40=""),"",IF(S40="Over-7-day injury",C40+15,IF(OR(S40="Death",S40="Specified injury",S40="Member of public to hospital",S40="Dangerous occurrence"),C40+10,"")))</f>
        <v/>
      </c>
      <c r="V40" s="28" t="str">
        <f aca="true">IF(C40="","",IF(AH40="Void – logged in error","Void",IF(W40&lt;&gt;"","Done – reported",IF(S40="Occupational disease","REPORT NOW – on diagnosis",IF(ISNUMBER(U40),IF(U40&lt;TODAY(),"OVERDUE – report now",IF(U40=TODAY(),"DUE TODAY",IF(U40-TODAY()&lt;='Start here'!$C$7,"DUE in "&amp;(U40-TODAY())&amp;" days",IF(OR(S40="Death",S40="Specified injury",S40="Member of public to hospital",S40="Dangerous occurrence"),"REPORT without delay","Report by date shown")))),IF(AND(N(Q40)&gt;7,OR(S40="",S40="Not reportable",S40="Over-3-day injury (record only)")),"CHECK – over 7 days off",IF(S40="","Decide RIDDOR",IF(S40="Over-3-day injury (record only)","Record only","Not reportable"))))))))</f>
        <v/>
      </c>
      <c r="W40" s="30"/>
      <c r="X40" s="29"/>
      <c r="Y40" s="32"/>
      <c r="Z40" s="29"/>
      <c r="AA40" s="35"/>
      <c r="AB40" s="29"/>
      <c r="AC40" s="29"/>
      <c r="AD40" s="29"/>
      <c r="AE40" s="29"/>
      <c r="AF40" s="29"/>
      <c r="AG40" s="30"/>
      <c r="AH40" s="29"/>
      <c r="AI40" s="36" t="str">
        <f aca="true">IF(OR(C40="",AH40="Closed",AH40="Void – logged in error",AG40=""),"",IF(AG40&lt;TODAY(),"OVERDUE",IF(AG40-TODAY()&lt;='Start here'!$C$8,"Due soon","On track")))</f>
        <v/>
      </c>
      <c r="AJ40" s="29"/>
      <c r="AK40" s="29"/>
      <c r="AL40" s="30"/>
      <c r="AM40" s="37" t="str">
        <f aca="false">IF(AND(C40&lt;&gt;"",AH40&lt;&gt;"Closed",AH40&lt;&gt;"Void – logged in error",OR(AH40&lt;&gt;"",AD40&lt;&gt;"",AE40&lt;&gt;"",AF40&lt;&gt;"",AG40&lt;&gt;"")),ROW(),"")</f>
        <v/>
      </c>
    </row>
    <row r="41" customFormat="false" ht="30" hidden="false" customHeight="true" outlineLevel="0" collapsed="false">
      <c r="A41" s="28" t="str">
        <f aca="false">IF(C41="","","INC-"&amp;YEAR(C41)&amp;"-"&amp;TEXT(COUNTIFS($C$6:C41,"&gt;="&amp;DATE(YEAR(C41),1,1),$C$6:C41,"&lt;="&amp;DATE(YEAR(C41),12,31)),"000"))</f>
        <v/>
      </c>
      <c r="B41" s="29"/>
      <c r="C41" s="30"/>
      <c r="D41" s="31"/>
      <c r="E41" s="30"/>
      <c r="F41" s="29"/>
      <c r="G41" s="29"/>
      <c r="H41" s="29"/>
      <c r="I41" s="29"/>
      <c r="J41" s="29"/>
      <c r="K41" s="29"/>
      <c r="L41" s="29"/>
      <c r="M41" s="29"/>
      <c r="N41" s="29"/>
      <c r="O41" s="29"/>
      <c r="P41" s="29"/>
      <c r="Q41" s="32"/>
      <c r="R41" s="29"/>
      <c r="S41" s="29"/>
      <c r="T41" s="33" t="str">
        <f aca="false">IF(AH41="Void – logged in error","",IF(OR(C41="",S41=""),IF(C41="","","Decide"),IF(OR(S41="Not reportable",S41="Over-3-day injury (record only)"),"No","Yes")))</f>
        <v/>
      </c>
      <c r="U41" s="34" t="str">
        <f aca="false">IF(OR(C41="",S41=""),"",IF(S41="Over-7-day injury",C41+15,IF(OR(S41="Death",S41="Specified injury",S41="Member of public to hospital",S41="Dangerous occurrence"),C41+10,"")))</f>
        <v/>
      </c>
      <c r="V41" s="28" t="str">
        <f aca="true">IF(C41="","",IF(AH41="Void – logged in error","Void",IF(W41&lt;&gt;"","Done – reported",IF(S41="Occupational disease","REPORT NOW – on diagnosis",IF(ISNUMBER(U41),IF(U41&lt;TODAY(),"OVERDUE – report now",IF(U41=TODAY(),"DUE TODAY",IF(U41-TODAY()&lt;='Start here'!$C$7,"DUE in "&amp;(U41-TODAY())&amp;" days",IF(OR(S41="Death",S41="Specified injury",S41="Member of public to hospital",S41="Dangerous occurrence"),"REPORT without delay","Report by date shown")))),IF(AND(N(Q41)&gt;7,OR(S41="",S41="Not reportable",S41="Over-3-day injury (record only)")),"CHECK – over 7 days off",IF(S41="","Decide RIDDOR",IF(S41="Over-3-day injury (record only)","Record only","Not reportable"))))))))</f>
        <v/>
      </c>
      <c r="W41" s="30"/>
      <c r="X41" s="29"/>
      <c r="Y41" s="32"/>
      <c r="Z41" s="29"/>
      <c r="AA41" s="35"/>
      <c r="AB41" s="29"/>
      <c r="AC41" s="29"/>
      <c r="AD41" s="29"/>
      <c r="AE41" s="29"/>
      <c r="AF41" s="29"/>
      <c r="AG41" s="30"/>
      <c r="AH41" s="29"/>
      <c r="AI41" s="36" t="str">
        <f aca="true">IF(OR(C41="",AH41="Closed",AH41="Void – logged in error",AG41=""),"",IF(AG41&lt;TODAY(),"OVERDUE",IF(AG41-TODAY()&lt;='Start here'!$C$8,"Due soon","On track")))</f>
        <v/>
      </c>
      <c r="AJ41" s="29"/>
      <c r="AK41" s="29"/>
      <c r="AL41" s="30"/>
      <c r="AM41" s="37" t="str">
        <f aca="false">IF(AND(C41&lt;&gt;"",AH41&lt;&gt;"Closed",AH41&lt;&gt;"Void – logged in error",OR(AH41&lt;&gt;"",AD41&lt;&gt;"",AE41&lt;&gt;"",AF41&lt;&gt;"",AG41&lt;&gt;"")),ROW(),"")</f>
        <v/>
      </c>
    </row>
    <row r="42" customFormat="false" ht="30" hidden="false" customHeight="true" outlineLevel="0" collapsed="false">
      <c r="A42" s="28" t="str">
        <f aca="false">IF(C42="","","INC-"&amp;YEAR(C42)&amp;"-"&amp;TEXT(COUNTIFS($C$6:C42,"&gt;="&amp;DATE(YEAR(C42),1,1),$C$6:C42,"&lt;="&amp;DATE(YEAR(C42),12,31)),"000"))</f>
        <v/>
      </c>
      <c r="B42" s="29"/>
      <c r="C42" s="30"/>
      <c r="D42" s="31"/>
      <c r="E42" s="30"/>
      <c r="F42" s="29"/>
      <c r="G42" s="29"/>
      <c r="H42" s="29"/>
      <c r="I42" s="29"/>
      <c r="J42" s="29"/>
      <c r="K42" s="29"/>
      <c r="L42" s="29"/>
      <c r="M42" s="29"/>
      <c r="N42" s="29"/>
      <c r="O42" s="29"/>
      <c r="P42" s="29"/>
      <c r="Q42" s="32"/>
      <c r="R42" s="29"/>
      <c r="S42" s="29"/>
      <c r="T42" s="33" t="str">
        <f aca="false">IF(AH42="Void – logged in error","",IF(OR(C42="",S42=""),IF(C42="","","Decide"),IF(OR(S42="Not reportable",S42="Over-3-day injury (record only)"),"No","Yes")))</f>
        <v/>
      </c>
      <c r="U42" s="34" t="str">
        <f aca="false">IF(OR(C42="",S42=""),"",IF(S42="Over-7-day injury",C42+15,IF(OR(S42="Death",S42="Specified injury",S42="Member of public to hospital",S42="Dangerous occurrence"),C42+10,"")))</f>
        <v/>
      </c>
      <c r="V42" s="28" t="str">
        <f aca="true">IF(C42="","",IF(AH42="Void – logged in error","Void",IF(W42&lt;&gt;"","Done – reported",IF(S42="Occupational disease","REPORT NOW – on diagnosis",IF(ISNUMBER(U42),IF(U42&lt;TODAY(),"OVERDUE – report now",IF(U42=TODAY(),"DUE TODAY",IF(U42-TODAY()&lt;='Start here'!$C$7,"DUE in "&amp;(U42-TODAY())&amp;" days",IF(OR(S42="Death",S42="Specified injury",S42="Member of public to hospital",S42="Dangerous occurrence"),"REPORT without delay","Report by date shown")))),IF(AND(N(Q42)&gt;7,OR(S42="",S42="Not reportable",S42="Over-3-day injury (record only)")),"CHECK – over 7 days off",IF(S42="","Decide RIDDOR",IF(S42="Over-3-day injury (record only)","Record only","Not reportable"))))))))</f>
        <v/>
      </c>
      <c r="W42" s="30"/>
      <c r="X42" s="29"/>
      <c r="Y42" s="32"/>
      <c r="Z42" s="29"/>
      <c r="AA42" s="35"/>
      <c r="AB42" s="29"/>
      <c r="AC42" s="29"/>
      <c r="AD42" s="29"/>
      <c r="AE42" s="29"/>
      <c r="AF42" s="29"/>
      <c r="AG42" s="30"/>
      <c r="AH42" s="29"/>
      <c r="AI42" s="36" t="str">
        <f aca="true">IF(OR(C42="",AH42="Closed",AH42="Void – logged in error",AG42=""),"",IF(AG42&lt;TODAY(),"OVERDUE",IF(AG42-TODAY()&lt;='Start here'!$C$8,"Due soon","On track")))</f>
        <v/>
      </c>
      <c r="AJ42" s="29"/>
      <c r="AK42" s="29"/>
      <c r="AL42" s="30"/>
      <c r="AM42" s="37" t="str">
        <f aca="false">IF(AND(C42&lt;&gt;"",AH42&lt;&gt;"Closed",AH42&lt;&gt;"Void – logged in error",OR(AH42&lt;&gt;"",AD42&lt;&gt;"",AE42&lt;&gt;"",AF42&lt;&gt;"",AG42&lt;&gt;"")),ROW(),"")</f>
        <v/>
      </c>
    </row>
    <row r="43" customFormat="false" ht="30" hidden="false" customHeight="true" outlineLevel="0" collapsed="false">
      <c r="A43" s="28" t="str">
        <f aca="false">IF(C43="","","INC-"&amp;YEAR(C43)&amp;"-"&amp;TEXT(COUNTIFS($C$6:C43,"&gt;="&amp;DATE(YEAR(C43),1,1),$C$6:C43,"&lt;="&amp;DATE(YEAR(C43),12,31)),"000"))</f>
        <v/>
      </c>
      <c r="B43" s="29"/>
      <c r="C43" s="30"/>
      <c r="D43" s="31"/>
      <c r="E43" s="30"/>
      <c r="F43" s="29"/>
      <c r="G43" s="29"/>
      <c r="H43" s="29"/>
      <c r="I43" s="29"/>
      <c r="J43" s="29"/>
      <c r="K43" s="29"/>
      <c r="L43" s="29"/>
      <c r="M43" s="29"/>
      <c r="N43" s="29"/>
      <c r="O43" s="29"/>
      <c r="P43" s="29"/>
      <c r="Q43" s="32"/>
      <c r="R43" s="29"/>
      <c r="S43" s="29"/>
      <c r="T43" s="33" t="str">
        <f aca="false">IF(AH43="Void – logged in error","",IF(OR(C43="",S43=""),IF(C43="","","Decide"),IF(OR(S43="Not reportable",S43="Over-3-day injury (record only)"),"No","Yes")))</f>
        <v/>
      </c>
      <c r="U43" s="34" t="str">
        <f aca="false">IF(OR(C43="",S43=""),"",IF(S43="Over-7-day injury",C43+15,IF(OR(S43="Death",S43="Specified injury",S43="Member of public to hospital",S43="Dangerous occurrence"),C43+10,"")))</f>
        <v/>
      </c>
      <c r="V43" s="28" t="str">
        <f aca="true">IF(C43="","",IF(AH43="Void – logged in error","Void",IF(W43&lt;&gt;"","Done – reported",IF(S43="Occupational disease","REPORT NOW – on diagnosis",IF(ISNUMBER(U43),IF(U43&lt;TODAY(),"OVERDUE – report now",IF(U43=TODAY(),"DUE TODAY",IF(U43-TODAY()&lt;='Start here'!$C$7,"DUE in "&amp;(U43-TODAY())&amp;" days",IF(OR(S43="Death",S43="Specified injury",S43="Member of public to hospital",S43="Dangerous occurrence"),"REPORT without delay","Report by date shown")))),IF(AND(N(Q43)&gt;7,OR(S43="",S43="Not reportable",S43="Over-3-day injury (record only)")),"CHECK – over 7 days off",IF(S43="","Decide RIDDOR",IF(S43="Over-3-day injury (record only)","Record only","Not reportable"))))))))</f>
        <v/>
      </c>
      <c r="W43" s="30"/>
      <c r="X43" s="29"/>
      <c r="Y43" s="32"/>
      <c r="Z43" s="29"/>
      <c r="AA43" s="35"/>
      <c r="AB43" s="29"/>
      <c r="AC43" s="29"/>
      <c r="AD43" s="29"/>
      <c r="AE43" s="29"/>
      <c r="AF43" s="29"/>
      <c r="AG43" s="30"/>
      <c r="AH43" s="29"/>
      <c r="AI43" s="36" t="str">
        <f aca="true">IF(OR(C43="",AH43="Closed",AH43="Void – logged in error",AG43=""),"",IF(AG43&lt;TODAY(),"OVERDUE",IF(AG43-TODAY()&lt;='Start here'!$C$8,"Due soon","On track")))</f>
        <v/>
      </c>
      <c r="AJ43" s="29"/>
      <c r="AK43" s="29"/>
      <c r="AL43" s="30"/>
      <c r="AM43" s="37" t="str">
        <f aca="false">IF(AND(C43&lt;&gt;"",AH43&lt;&gt;"Closed",AH43&lt;&gt;"Void – logged in error",OR(AH43&lt;&gt;"",AD43&lt;&gt;"",AE43&lt;&gt;"",AF43&lt;&gt;"",AG43&lt;&gt;"")),ROW(),"")</f>
        <v/>
      </c>
    </row>
    <row r="44" customFormat="false" ht="30" hidden="false" customHeight="true" outlineLevel="0" collapsed="false">
      <c r="A44" s="28" t="str">
        <f aca="false">IF(C44="","","INC-"&amp;YEAR(C44)&amp;"-"&amp;TEXT(COUNTIFS($C$6:C44,"&gt;="&amp;DATE(YEAR(C44),1,1),$C$6:C44,"&lt;="&amp;DATE(YEAR(C44),12,31)),"000"))</f>
        <v/>
      </c>
      <c r="B44" s="29"/>
      <c r="C44" s="30"/>
      <c r="D44" s="31"/>
      <c r="E44" s="30"/>
      <c r="F44" s="29"/>
      <c r="G44" s="29"/>
      <c r="H44" s="29"/>
      <c r="I44" s="29"/>
      <c r="J44" s="29"/>
      <c r="K44" s="29"/>
      <c r="L44" s="29"/>
      <c r="M44" s="29"/>
      <c r="N44" s="29"/>
      <c r="O44" s="29"/>
      <c r="P44" s="29"/>
      <c r="Q44" s="32"/>
      <c r="R44" s="29"/>
      <c r="S44" s="29"/>
      <c r="T44" s="33" t="str">
        <f aca="false">IF(AH44="Void – logged in error","",IF(OR(C44="",S44=""),IF(C44="","","Decide"),IF(OR(S44="Not reportable",S44="Over-3-day injury (record only)"),"No","Yes")))</f>
        <v/>
      </c>
      <c r="U44" s="34" t="str">
        <f aca="false">IF(OR(C44="",S44=""),"",IF(S44="Over-7-day injury",C44+15,IF(OR(S44="Death",S44="Specified injury",S44="Member of public to hospital",S44="Dangerous occurrence"),C44+10,"")))</f>
        <v/>
      </c>
      <c r="V44" s="28" t="str">
        <f aca="true">IF(C44="","",IF(AH44="Void – logged in error","Void",IF(W44&lt;&gt;"","Done – reported",IF(S44="Occupational disease","REPORT NOW – on diagnosis",IF(ISNUMBER(U44),IF(U44&lt;TODAY(),"OVERDUE – report now",IF(U44=TODAY(),"DUE TODAY",IF(U44-TODAY()&lt;='Start here'!$C$7,"DUE in "&amp;(U44-TODAY())&amp;" days",IF(OR(S44="Death",S44="Specified injury",S44="Member of public to hospital",S44="Dangerous occurrence"),"REPORT without delay","Report by date shown")))),IF(AND(N(Q44)&gt;7,OR(S44="",S44="Not reportable",S44="Over-3-day injury (record only)")),"CHECK – over 7 days off",IF(S44="","Decide RIDDOR",IF(S44="Over-3-day injury (record only)","Record only","Not reportable"))))))))</f>
        <v/>
      </c>
      <c r="W44" s="30"/>
      <c r="X44" s="29"/>
      <c r="Y44" s="32"/>
      <c r="Z44" s="29"/>
      <c r="AA44" s="35"/>
      <c r="AB44" s="29"/>
      <c r="AC44" s="29"/>
      <c r="AD44" s="29"/>
      <c r="AE44" s="29"/>
      <c r="AF44" s="29"/>
      <c r="AG44" s="30"/>
      <c r="AH44" s="29"/>
      <c r="AI44" s="36" t="str">
        <f aca="true">IF(OR(C44="",AH44="Closed",AH44="Void – logged in error",AG44=""),"",IF(AG44&lt;TODAY(),"OVERDUE",IF(AG44-TODAY()&lt;='Start here'!$C$8,"Due soon","On track")))</f>
        <v/>
      </c>
      <c r="AJ44" s="29"/>
      <c r="AK44" s="29"/>
      <c r="AL44" s="30"/>
      <c r="AM44" s="37" t="str">
        <f aca="false">IF(AND(C44&lt;&gt;"",AH44&lt;&gt;"Closed",AH44&lt;&gt;"Void – logged in error",OR(AH44&lt;&gt;"",AD44&lt;&gt;"",AE44&lt;&gt;"",AF44&lt;&gt;"",AG44&lt;&gt;"")),ROW(),"")</f>
        <v/>
      </c>
    </row>
    <row r="45" customFormat="false" ht="30" hidden="false" customHeight="true" outlineLevel="0" collapsed="false">
      <c r="A45" s="28" t="str">
        <f aca="false">IF(C45="","","INC-"&amp;YEAR(C45)&amp;"-"&amp;TEXT(COUNTIFS($C$6:C45,"&gt;="&amp;DATE(YEAR(C45),1,1),$C$6:C45,"&lt;="&amp;DATE(YEAR(C45),12,31)),"000"))</f>
        <v/>
      </c>
      <c r="B45" s="29"/>
      <c r="C45" s="30"/>
      <c r="D45" s="31"/>
      <c r="E45" s="30"/>
      <c r="F45" s="29"/>
      <c r="G45" s="29"/>
      <c r="H45" s="29"/>
      <c r="I45" s="29"/>
      <c r="J45" s="29"/>
      <c r="K45" s="29"/>
      <c r="L45" s="29"/>
      <c r="M45" s="29"/>
      <c r="N45" s="29"/>
      <c r="O45" s="29"/>
      <c r="P45" s="29"/>
      <c r="Q45" s="32"/>
      <c r="R45" s="29"/>
      <c r="S45" s="29"/>
      <c r="T45" s="33" t="str">
        <f aca="false">IF(AH45="Void – logged in error","",IF(OR(C45="",S45=""),IF(C45="","","Decide"),IF(OR(S45="Not reportable",S45="Over-3-day injury (record only)"),"No","Yes")))</f>
        <v/>
      </c>
      <c r="U45" s="34" t="str">
        <f aca="false">IF(OR(C45="",S45=""),"",IF(S45="Over-7-day injury",C45+15,IF(OR(S45="Death",S45="Specified injury",S45="Member of public to hospital",S45="Dangerous occurrence"),C45+10,"")))</f>
        <v/>
      </c>
      <c r="V45" s="28" t="str">
        <f aca="true">IF(C45="","",IF(AH45="Void – logged in error","Void",IF(W45&lt;&gt;"","Done – reported",IF(S45="Occupational disease","REPORT NOW – on diagnosis",IF(ISNUMBER(U45),IF(U45&lt;TODAY(),"OVERDUE – report now",IF(U45=TODAY(),"DUE TODAY",IF(U45-TODAY()&lt;='Start here'!$C$7,"DUE in "&amp;(U45-TODAY())&amp;" days",IF(OR(S45="Death",S45="Specified injury",S45="Member of public to hospital",S45="Dangerous occurrence"),"REPORT without delay","Report by date shown")))),IF(AND(N(Q45)&gt;7,OR(S45="",S45="Not reportable",S45="Over-3-day injury (record only)")),"CHECK – over 7 days off",IF(S45="","Decide RIDDOR",IF(S45="Over-3-day injury (record only)","Record only","Not reportable"))))))))</f>
        <v/>
      </c>
      <c r="W45" s="30"/>
      <c r="X45" s="29"/>
      <c r="Y45" s="32"/>
      <c r="Z45" s="29"/>
      <c r="AA45" s="35"/>
      <c r="AB45" s="29"/>
      <c r="AC45" s="29"/>
      <c r="AD45" s="29"/>
      <c r="AE45" s="29"/>
      <c r="AF45" s="29"/>
      <c r="AG45" s="30"/>
      <c r="AH45" s="29"/>
      <c r="AI45" s="36" t="str">
        <f aca="true">IF(OR(C45="",AH45="Closed",AH45="Void – logged in error",AG45=""),"",IF(AG45&lt;TODAY(),"OVERDUE",IF(AG45-TODAY()&lt;='Start here'!$C$8,"Due soon","On track")))</f>
        <v/>
      </c>
      <c r="AJ45" s="29"/>
      <c r="AK45" s="29"/>
      <c r="AL45" s="30"/>
      <c r="AM45" s="37" t="str">
        <f aca="false">IF(AND(C45&lt;&gt;"",AH45&lt;&gt;"Closed",AH45&lt;&gt;"Void – logged in error",OR(AH45&lt;&gt;"",AD45&lt;&gt;"",AE45&lt;&gt;"",AF45&lt;&gt;"",AG45&lt;&gt;"")),ROW(),"")</f>
        <v/>
      </c>
    </row>
    <row r="46" customFormat="false" ht="30" hidden="false" customHeight="true" outlineLevel="0" collapsed="false">
      <c r="A46" s="28" t="str">
        <f aca="false">IF(C46="","","INC-"&amp;YEAR(C46)&amp;"-"&amp;TEXT(COUNTIFS($C$6:C46,"&gt;="&amp;DATE(YEAR(C46),1,1),$C$6:C46,"&lt;="&amp;DATE(YEAR(C46),12,31)),"000"))</f>
        <v/>
      </c>
      <c r="B46" s="29"/>
      <c r="C46" s="30"/>
      <c r="D46" s="31"/>
      <c r="E46" s="30"/>
      <c r="F46" s="29"/>
      <c r="G46" s="29"/>
      <c r="H46" s="29"/>
      <c r="I46" s="29"/>
      <c r="J46" s="29"/>
      <c r="K46" s="29"/>
      <c r="L46" s="29"/>
      <c r="M46" s="29"/>
      <c r="N46" s="29"/>
      <c r="O46" s="29"/>
      <c r="P46" s="29"/>
      <c r="Q46" s="32"/>
      <c r="R46" s="29"/>
      <c r="S46" s="29"/>
      <c r="T46" s="33" t="str">
        <f aca="false">IF(AH46="Void – logged in error","",IF(OR(C46="",S46=""),IF(C46="","","Decide"),IF(OR(S46="Not reportable",S46="Over-3-day injury (record only)"),"No","Yes")))</f>
        <v/>
      </c>
      <c r="U46" s="34" t="str">
        <f aca="false">IF(OR(C46="",S46=""),"",IF(S46="Over-7-day injury",C46+15,IF(OR(S46="Death",S46="Specified injury",S46="Member of public to hospital",S46="Dangerous occurrence"),C46+10,"")))</f>
        <v/>
      </c>
      <c r="V46" s="28" t="str">
        <f aca="true">IF(C46="","",IF(AH46="Void – logged in error","Void",IF(W46&lt;&gt;"","Done – reported",IF(S46="Occupational disease","REPORT NOW – on diagnosis",IF(ISNUMBER(U46),IF(U46&lt;TODAY(),"OVERDUE – report now",IF(U46=TODAY(),"DUE TODAY",IF(U46-TODAY()&lt;='Start here'!$C$7,"DUE in "&amp;(U46-TODAY())&amp;" days",IF(OR(S46="Death",S46="Specified injury",S46="Member of public to hospital",S46="Dangerous occurrence"),"REPORT without delay","Report by date shown")))),IF(AND(N(Q46)&gt;7,OR(S46="",S46="Not reportable",S46="Over-3-day injury (record only)")),"CHECK – over 7 days off",IF(S46="","Decide RIDDOR",IF(S46="Over-3-day injury (record only)","Record only","Not reportable"))))))))</f>
        <v/>
      </c>
      <c r="W46" s="30"/>
      <c r="X46" s="29"/>
      <c r="Y46" s="32"/>
      <c r="Z46" s="29"/>
      <c r="AA46" s="35"/>
      <c r="AB46" s="29"/>
      <c r="AC46" s="29"/>
      <c r="AD46" s="29"/>
      <c r="AE46" s="29"/>
      <c r="AF46" s="29"/>
      <c r="AG46" s="30"/>
      <c r="AH46" s="29"/>
      <c r="AI46" s="36" t="str">
        <f aca="true">IF(OR(C46="",AH46="Closed",AH46="Void – logged in error",AG46=""),"",IF(AG46&lt;TODAY(),"OVERDUE",IF(AG46-TODAY()&lt;='Start here'!$C$8,"Due soon","On track")))</f>
        <v/>
      </c>
      <c r="AJ46" s="29"/>
      <c r="AK46" s="29"/>
      <c r="AL46" s="30"/>
      <c r="AM46" s="37" t="str">
        <f aca="false">IF(AND(C46&lt;&gt;"",AH46&lt;&gt;"Closed",AH46&lt;&gt;"Void – logged in error",OR(AH46&lt;&gt;"",AD46&lt;&gt;"",AE46&lt;&gt;"",AF46&lt;&gt;"",AG46&lt;&gt;"")),ROW(),"")</f>
        <v/>
      </c>
    </row>
    <row r="47" customFormat="false" ht="30" hidden="false" customHeight="true" outlineLevel="0" collapsed="false">
      <c r="A47" s="28" t="str">
        <f aca="false">IF(C47="","","INC-"&amp;YEAR(C47)&amp;"-"&amp;TEXT(COUNTIFS($C$6:C47,"&gt;="&amp;DATE(YEAR(C47),1,1),$C$6:C47,"&lt;="&amp;DATE(YEAR(C47),12,31)),"000"))</f>
        <v/>
      </c>
      <c r="B47" s="29"/>
      <c r="C47" s="30"/>
      <c r="D47" s="31"/>
      <c r="E47" s="30"/>
      <c r="F47" s="29"/>
      <c r="G47" s="29"/>
      <c r="H47" s="29"/>
      <c r="I47" s="29"/>
      <c r="J47" s="29"/>
      <c r="K47" s="29"/>
      <c r="L47" s="29"/>
      <c r="M47" s="29"/>
      <c r="N47" s="29"/>
      <c r="O47" s="29"/>
      <c r="P47" s="29"/>
      <c r="Q47" s="32"/>
      <c r="R47" s="29"/>
      <c r="S47" s="29"/>
      <c r="T47" s="33" t="str">
        <f aca="false">IF(AH47="Void – logged in error","",IF(OR(C47="",S47=""),IF(C47="","","Decide"),IF(OR(S47="Not reportable",S47="Over-3-day injury (record only)"),"No","Yes")))</f>
        <v/>
      </c>
      <c r="U47" s="34" t="str">
        <f aca="false">IF(OR(C47="",S47=""),"",IF(S47="Over-7-day injury",C47+15,IF(OR(S47="Death",S47="Specified injury",S47="Member of public to hospital",S47="Dangerous occurrence"),C47+10,"")))</f>
        <v/>
      </c>
      <c r="V47" s="28" t="str">
        <f aca="true">IF(C47="","",IF(AH47="Void – logged in error","Void",IF(W47&lt;&gt;"","Done – reported",IF(S47="Occupational disease","REPORT NOW – on diagnosis",IF(ISNUMBER(U47),IF(U47&lt;TODAY(),"OVERDUE – report now",IF(U47=TODAY(),"DUE TODAY",IF(U47-TODAY()&lt;='Start here'!$C$7,"DUE in "&amp;(U47-TODAY())&amp;" days",IF(OR(S47="Death",S47="Specified injury",S47="Member of public to hospital",S47="Dangerous occurrence"),"REPORT without delay","Report by date shown")))),IF(AND(N(Q47)&gt;7,OR(S47="",S47="Not reportable",S47="Over-3-day injury (record only)")),"CHECK – over 7 days off",IF(S47="","Decide RIDDOR",IF(S47="Over-3-day injury (record only)","Record only","Not reportable"))))))))</f>
        <v/>
      </c>
      <c r="W47" s="30"/>
      <c r="X47" s="29"/>
      <c r="Y47" s="32"/>
      <c r="Z47" s="29"/>
      <c r="AA47" s="35"/>
      <c r="AB47" s="29"/>
      <c r="AC47" s="29"/>
      <c r="AD47" s="29"/>
      <c r="AE47" s="29"/>
      <c r="AF47" s="29"/>
      <c r="AG47" s="30"/>
      <c r="AH47" s="29"/>
      <c r="AI47" s="36" t="str">
        <f aca="true">IF(OR(C47="",AH47="Closed",AH47="Void – logged in error",AG47=""),"",IF(AG47&lt;TODAY(),"OVERDUE",IF(AG47-TODAY()&lt;='Start here'!$C$8,"Due soon","On track")))</f>
        <v/>
      </c>
      <c r="AJ47" s="29"/>
      <c r="AK47" s="29"/>
      <c r="AL47" s="30"/>
      <c r="AM47" s="37" t="str">
        <f aca="false">IF(AND(C47&lt;&gt;"",AH47&lt;&gt;"Closed",AH47&lt;&gt;"Void – logged in error",OR(AH47&lt;&gt;"",AD47&lt;&gt;"",AE47&lt;&gt;"",AF47&lt;&gt;"",AG47&lt;&gt;"")),ROW(),"")</f>
        <v/>
      </c>
    </row>
    <row r="48" customFormat="false" ht="30" hidden="false" customHeight="true" outlineLevel="0" collapsed="false">
      <c r="A48" s="28" t="str">
        <f aca="false">IF(C48="","","INC-"&amp;YEAR(C48)&amp;"-"&amp;TEXT(COUNTIFS($C$6:C48,"&gt;="&amp;DATE(YEAR(C48),1,1),$C$6:C48,"&lt;="&amp;DATE(YEAR(C48),12,31)),"000"))</f>
        <v/>
      </c>
      <c r="B48" s="29"/>
      <c r="C48" s="30"/>
      <c r="D48" s="31"/>
      <c r="E48" s="30"/>
      <c r="F48" s="29"/>
      <c r="G48" s="29"/>
      <c r="H48" s="29"/>
      <c r="I48" s="29"/>
      <c r="J48" s="29"/>
      <c r="K48" s="29"/>
      <c r="L48" s="29"/>
      <c r="M48" s="29"/>
      <c r="N48" s="29"/>
      <c r="O48" s="29"/>
      <c r="P48" s="29"/>
      <c r="Q48" s="32"/>
      <c r="R48" s="29"/>
      <c r="S48" s="29"/>
      <c r="T48" s="33" t="str">
        <f aca="false">IF(AH48="Void – logged in error","",IF(OR(C48="",S48=""),IF(C48="","","Decide"),IF(OR(S48="Not reportable",S48="Over-3-day injury (record only)"),"No","Yes")))</f>
        <v/>
      </c>
      <c r="U48" s="34" t="str">
        <f aca="false">IF(OR(C48="",S48=""),"",IF(S48="Over-7-day injury",C48+15,IF(OR(S48="Death",S48="Specified injury",S48="Member of public to hospital",S48="Dangerous occurrence"),C48+10,"")))</f>
        <v/>
      </c>
      <c r="V48" s="28" t="str">
        <f aca="true">IF(C48="","",IF(AH48="Void – logged in error","Void",IF(W48&lt;&gt;"","Done – reported",IF(S48="Occupational disease","REPORT NOW – on diagnosis",IF(ISNUMBER(U48),IF(U48&lt;TODAY(),"OVERDUE – report now",IF(U48=TODAY(),"DUE TODAY",IF(U48-TODAY()&lt;='Start here'!$C$7,"DUE in "&amp;(U48-TODAY())&amp;" days",IF(OR(S48="Death",S48="Specified injury",S48="Member of public to hospital",S48="Dangerous occurrence"),"REPORT without delay","Report by date shown")))),IF(AND(N(Q48)&gt;7,OR(S48="",S48="Not reportable",S48="Over-3-day injury (record only)")),"CHECK – over 7 days off",IF(S48="","Decide RIDDOR",IF(S48="Over-3-day injury (record only)","Record only","Not reportable"))))))))</f>
        <v/>
      </c>
      <c r="W48" s="30"/>
      <c r="X48" s="29"/>
      <c r="Y48" s="32"/>
      <c r="Z48" s="29"/>
      <c r="AA48" s="35"/>
      <c r="AB48" s="29"/>
      <c r="AC48" s="29"/>
      <c r="AD48" s="29"/>
      <c r="AE48" s="29"/>
      <c r="AF48" s="29"/>
      <c r="AG48" s="30"/>
      <c r="AH48" s="29"/>
      <c r="AI48" s="36" t="str">
        <f aca="true">IF(OR(C48="",AH48="Closed",AH48="Void – logged in error",AG48=""),"",IF(AG48&lt;TODAY(),"OVERDUE",IF(AG48-TODAY()&lt;='Start here'!$C$8,"Due soon","On track")))</f>
        <v/>
      </c>
      <c r="AJ48" s="29"/>
      <c r="AK48" s="29"/>
      <c r="AL48" s="30"/>
      <c r="AM48" s="37" t="str">
        <f aca="false">IF(AND(C48&lt;&gt;"",AH48&lt;&gt;"Closed",AH48&lt;&gt;"Void – logged in error",OR(AH48&lt;&gt;"",AD48&lt;&gt;"",AE48&lt;&gt;"",AF48&lt;&gt;"",AG48&lt;&gt;"")),ROW(),"")</f>
        <v/>
      </c>
    </row>
    <row r="49" customFormat="false" ht="30" hidden="false" customHeight="true" outlineLevel="0" collapsed="false">
      <c r="A49" s="28" t="str">
        <f aca="false">IF(C49="","","INC-"&amp;YEAR(C49)&amp;"-"&amp;TEXT(COUNTIFS($C$6:C49,"&gt;="&amp;DATE(YEAR(C49),1,1),$C$6:C49,"&lt;="&amp;DATE(YEAR(C49),12,31)),"000"))</f>
        <v/>
      </c>
      <c r="B49" s="29"/>
      <c r="C49" s="30"/>
      <c r="D49" s="31"/>
      <c r="E49" s="30"/>
      <c r="F49" s="29"/>
      <c r="G49" s="29"/>
      <c r="H49" s="29"/>
      <c r="I49" s="29"/>
      <c r="J49" s="29"/>
      <c r="K49" s="29"/>
      <c r="L49" s="29"/>
      <c r="M49" s="29"/>
      <c r="N49" s="29"/>
      <c r="O49" s="29"/>
      <c r="P49" s="29"/>
      <c r="Q49" s="32"/>
      <c r="R49" s="29"/>
      <c r="S49" s="29"/>
      <c r="T49" s="33" t="str">
        <f aca="false">IF(AH49="Void – logged in error","",IF(OR(C49="",S49=""),IF(C49="","","Decide"),IF(OR(S49="Not reportable",S49="Over-3-day injury (record only)"),"No","Yes")))</f>
        <v/>
      </c>
      <c r="U49" s="34" t="str">
        <f aca="false">IF(OR(C49="",S49=""),"",IF(S49="Over-7-day injury",C49+15,IF(OR(S49="Death",S49="Specified injury",S49="Member of public to hospital",S49="Dangerous occurrence"),C49+10,"")))</f>
        <v/>
      </c>
      <c r="V49" s="28" t="str">
        <f aca="true">IF(C49="","",IF(AH49="Void – logged in error","Void",IF(W49&lt;&gt;"","Done – reported",IF(S49="Occupational disease","REPORT NOW – on diagnosis",IF(ISNUMBER(U49),IF(U49&lt;TODAY(),"OVERDUE – report now",IF(U49=TODAY(),"DUE TODAY",IF(U49-TODAY()&lt;='Start here'!$C$7,"DUE in "&amp;(U49-TODAY())&amp;" days",IF(OR(S49="Death",S49="Specified injury",S49="Member of public to hospital",S49="Dangerous occurrence"),"REPORT without delay","Report by date shown")))),IF(AND(N(Q49)&gt;7,OR(S49="",S49="Not reportable",S49="Over-3-day injury (record only)")),"CHECK – over 7 days off",IF(S49="","Decide RIDDOR",IF(S49="Over-3-day injury (record only)","Record only","Not reportable"))))))))</f>
        <v/>
      </c>
      <c r="W49" s="30"/>
      <c r="X49" s="29"/>
      <c r="Y49" s="32"/>
      <c r="Z49" s="29"/>
      <c r="AA49" s="35"/>
      <c r="AB49" s="29"/>
      <c r="AC49" s="29"/>
      <c r="AD49" s="29"/>
      <c r="AE49" s="29"/>
      <c r="AF49" s="29"/>
      <c r="AG49" s="30"/>
      <c r="AH49" s="29"/>
      <c r="AI49" s="36" t="str">
        <f aca="true">IF(OR(C49="",AH49="Closed",AH49="Void – logged in error",AG49=""),"",IF(AG49&lt;TODAY(),"OVERDUE",IF(AG49-TODAY()&lt;='Start here'!$C$8,"Due soon","On track")))</f>
        <v/>
      </c>
      <c r="AJ49" s="29"/>
      <c r="AK49" s="29"/>
      <c r="AL49" s="30"/>
      <c r="AM49" s="37" t="str">
        <f aca="false">IF(AND(C49&lt;&gt;"",AH49&lt;&gt;"Closed",AH49&lt;&gt;"Void – logged in error",OR(AH49&lt;&gt;"",AD49&lt;&gt;"",AE49&lt;&gt;"",AF49&lt;&gt;"",AG49&lt;&gt;"")),ROW(),"")</f>
        <v/>
      </c>
    </row>
    <row r="50" customFormat="false" ht="30" hidden="false" customHeight="true" outlineLevel="0" collapsed="false">
      <c r="A50" s="28" t="str">
        <f aca="false">IF(C50="","","INC-"&amp;YEAR(C50)&amp;"-"&amp;TEXT(COUNTIFS($C$6:C50,"&gt;="&amp;DATE(YEAR(C50),1,1),$C$6:C50,"&lt;="&amp;DATE(YEAR(C50),12,31)),"000"))</f>
        <v/>
      </c>
      <c r="B50" s="29"/>
      <c r="C50" s="30"/>
      <c r="D50" s="31"/>
      <c r="E50" s="30"/>
      <c r="F50" s="29"/>
      <c r="G50" s="29"/>
      <c r="H50" s="29"/>
      <c r="I50" s="29"/>
      <c r="J50" s="29"/>
      <c r="K50" s="29"/>
      <c r="L50" s="29"/>
      <c r="M50" s="29"/>
      <c r="N50" s="29"/>
      <c r="O50" s="29"/>
      <c r="P50" s="29"/>
      <c r="Q50" s="32"/>
      <c r="R50" s="29"/>
      <c r="S50" s="29"/>
      <c r="T50" s="33" t="str">
        <f aca="false">IF(AH50="Void – logged in error","",IF(OR(C50="",S50=""),IF(C50="","","Decide"),IF(OR(S50="Not reportable",S50="Over-3-day injury (record only)"),"No","Yes")))</f>
        <v/>
      </c>
      <c r="U50" s="34" t="str">
        <f aca="false">IF(OR(C50="",S50=""),"",IF(S50="Over-7-day injury",C50+15,IF(OR(S50="Death",S50="Specified injury",S50="Member of public to hospital",S50="Dangerous occurrence"),C50+10,"")))</f>
        <v/>
      </c>
      <c r="V50" s="28" t="str">
        <f aca="true">IF(C50="","",IF(AH50="Void – logged in error","Void",IF(W50&lt;&gt;"","Done – reported",IF(S50="Occupational disease","REPORT NOW – on diagnosis",IF(ISNUMBER(U50),IF(U50&lt;TODAY(),"OVERDUE – report now",IF(U50=TODAY(),"DUE TODAY",IF(U50-TODAY()&lt;='Start here'!$C$7,"DUE in "&amp;(U50-TODAY())&amp;" days",IF(OR(S50="Death",S50="Specified injury",S50="Member of public to hospital",S50="Dangerous occurrence"),"REPORT without delay","Report by date shown")))),IF(AND(N(Q50)&gt;7,OR(S50="",S50="Not reportable",S50="Over-3-day injury (record only)")),"CHECK – over 7 days off",IF(S50="","Decide RIDDOR",IF(S50="Over-3-day injury (record only)","Record only","Not reportable"))))))))</f>
        <v/>
      </c>
      <c r="W50" s="30"/>
      <c r="X50" s="29"/>
      <c r="Y50" s="32"/>
      <c r="Z50" s="29"/>
      <c r="AA50" s="35"/>
      <c r="AB50" s="29"/>
      <c r="AC50" s="29"/>
      <c r="AD50" s="29"/>
      <c r="AE50" s="29"/>
      <c r="AF50" s="29"/>
      <c r="AG50" s="30"/>
      <c r="AH50" s="29"/>
      <c r="AI50" s="36" t="str">
        <f aca="true">IF(OR(C50="",AH50="Closed",AH50="Void – logged in error",AG50=""),"",IF(AG50&lt;TODAY(),"OVERDUE",IF(AG50-TODAY()&lt;='Start here'!$C$8,"Due soon","On track")))</f>
        <v/>
      </c>
      <c r="AJ50" s="29"/>
      <c r="AK50" s="29"/>
      <c r="AL50" s="30"/>
      <c r="AM50" s="37" t="str">
        <f aca="false">IF(AND(C50&lt;&gt;"",AH50&lt;&gt;"Closed",AH50&lt;&gt;"Void – logged in error",OR(AH50&lt;&gt;"",AD50&lt;&gt;"",AE50&lt;&gt;"",AF50&lt;&gt;"",AG50&lt;&gt;"")),ROW(),"")</f>
        <v/>
      </c>
    </row>
    <row r="51" customFormat="false" ht="30" hidden="false" customHeight="true" outlineLevel="0" collapsed="false">
      <c r="A51" s="28" t="str">
        <f aca="false">IF(C51="","","INC-"&amp;YEAR(C51)&amp;"-"&amp;TEXT(COUNTIFS($C$6:C51,"&gt;="&amp;DATE(YEAR(C51),1,1),$C$6:C51,"&lt;="&amp;DATE(YEAR(C51),12,31)),"000"))</f>
        <v/>
      </c>
      <c r="B51" s="29"/>
      <c r="C51" s="30"/>
      <c r="D51" s="31"/>
      <c r="E51" s="30"/>
      <c r="F51" s="29"/>
      <c r="G51" s="29"/>
      <c r="H51" s="29"/>
      <c r="I51" s="29"/>
      <c r="J51" s="29"/>
      <c r="K51" s="29"/>
      <c r="L51" s="29"/>
      <c r="M51" s="29"/>
      <c r="N51" s="29"/>
      <c r="O51" s="29"/>
      <c r="P51" s="29"/>
      <c r="Q51" s="32"/>
      <c r="R51" s="29"/>
      <c r="S51" s="29"/>
      <c r="T51" s="33" t="str">
        <f aca="false">IF(AH51="Void – logged in error","",IF(OR(C51="",S51=""),IF(C51="","","Decide"),IF(OR(S51="Not reportable",S51="Over-3-day injury (record only)"),"No","Yes")))</f>
        <v/>
      </c>
      <c r="U51" s="34" t="str">
        <f aca="false">IF(OR(C51="",S51=""),"",IF(S51="Over-7-day injury",C51+15,IF(OR(S51="Death",S51="Specified injury",S51="Member of public to hospital",S51="Dangerous occurrence"),C51+10,"")))</f>
        <v/>
      </c>
      <c r="V51" s="28" t="str">
        <f aca="true">IF(C51="","",IF(AH51="Void – logged in error","Void",IF(W51&lt;&gt;"","Done – reported",IF(S51="Occupational disease","REPORT NOW – on diagnosis",IF(ISNUMBER(U51),IF(U51&lt;TODAY(),"OVERDUE – report now",IF(U51=TODAY(),"DUE TODAY",IF(U51-TODAY()&lt;='Start here'!$C$7,"DUE in "&amp;(U51-TODAY())&amp;" days",IF(OR(S51="Death",S51="Specified injury",S51="Member of public to hospital",S51="Dangerous occurrence"),"REPORT without delay","Report by date shown")))),IF(AND(N(Q51)&gt;7,OR(S51="",S51="Not reportable",S51="Over-3-day injury (record only)")),"CHECK – over 7 days off",IF(S51="","Decide RIDDOR",IF(S51="Over-3-day injury (record only)","Record only","Not reportable"))))))))</f>
        <v/>
      </c>
      <c r="W51" s="30"/>
      <c r="X51" s="29"/>
      <c r="Y51" s="32"/>
      <c r="Z51" s="29"/>
      <c r="AA51" s="35"/>
      <c r="AB51" s="29"/>
      <c r="AC51" s="29"/>
      <c r="AD51" s="29"/>
      <c r="AE51" s="29"/>
      <c r="AF51" s="29"/>
      <c r="AG51" s="30"/>
      <c r="AH51" s="29"/>
      <c r="AI51" s="36" t="str">
        <f aca="true">IF(OR(C51="",AH51="Closed",AH51="Void – logged in error",AG51=""),"",IF(AG51&lt;TODAY(),"OVERDUE",IF(AG51-TODAY()&lt;='Start here'!$C$8,"Due soon","On track")))</f>
        <v/>
      </c>
      <c r="AJ51" s="29"/>
      <c r="AK51" s="29"/>
      <c r="AL51" s="30"/>
      <c r="AM51" s="37" t="str">
        <f aca="false">IF(AND(C51&lt;&gt;"",AH51&lt;&gt;"Closed",AH51&lt;&gt;"Void – logged in error",OR(AH51&lt;&gt;"",AD51&lt;&gt;"",AE51&lt;&gt;"",AF51&lt;&gt;"",AG51&lt;&gt;"")),ROW(),"")</f>
        <v/>
      </c>
    </row>
    <row r="52" customFormat="false" ht="30" hidden="false" customHeight="true" outlineLevel="0" collapsed="false">
      <c r="A52" s="28" t="str">
        <f aca="false">IF(C52="","","INC-"&amp;YEAR(C52)&amp;"-"&amp;TEXT(COUNTIFS($C$6:C52,"&gt;="&amp;DATE(YEAR(C52),1,1),$C$6:C52,"&lt;="&amp;DATE(YEAR(C52),12,31)),"000"))</f>
        <v/>
      </c>
      <c r="B52" s="29"/>
      <c r="C52" s="30"/>
      <c r="D52" s="31"/>
      <c r="E52" s="30"/>
      <c r="F52" s="29"/>
      <c r="G52" s="29"/>
      <c r="H52" s="29"/>
      <c r="I52" s="29"/>
      <c r="J52" s="29"/>
      <c r="K52" s="29"/>
      <c r="L52" s="29"/>
      <c r="M52" s="29"/>
      <c r="N52" s="29"/>
      <c r="O52" s="29"/>
      <c r="P52" s="29"/>
      <c r="Q52" s="32"/>
      <c r="R52" s="29"/>
      <c r="S52" s="29"/>
      <c r="T52" s="33" t="str">
        <f aca="false">IF(AH52="Void – logged in error","",IF(OR(C52="",S52=""),IF(C52="","","Decide"),IF(OR(S52="Not reportable",S52="Over-3-day injury (record only)"),"No","Yes")))</f>
        <v/>
      </c>
      <c r="U52" s="34" t="str">
        <f aca="false">IF(OR(C52="",S52=""),"",IF(S52="Over-7-day injury",C52+15,IF(OR(S52="Death",S52="Specified injury",S52="Member of public to hospital",S52="Dangerous occurrence"),C52+10,"")))</f>
        <v/>
      </c>
      <c r="V52" s="28" t="str">
        <f aca="true">IF(C52="","",IF(AH52="Void – logged in error","Void",IF(W52&lt;&gt;"","Done – reported",IF(S52="Occupational disease","REPORT NOW – on diagnosis",IF(ISNUMBER(U52),IF(U52&lt;TODAY(),"OVERDUE – report now",IF(U52=TODAY(),"DUE TODAY",IF(U52-TODAY()&lt;='Start here'!$C$7,"DUE in "&amp;(U52-TODAY())&amp;" days",IF(OR(S52="Death",S52="Specified injury",S52="Member of public to hospital",S52="Dangerous occurrence"),"REPORT without delay","Report by date shown")))),IF(AND(N(Q52)&gt;7,OR(S52="",S52="Not reportable",S52="Over-3-day injury (record only)")),"CHECK – over 7 days off",IF(S52="","Decide RIDDOR",IF(S52="Over-3-day injury (record only)","Record only","Not reportable"))))))))</f>
        <v/>
      </c>
      <c r="W52" s="30"/>
      <c r="X52" s="29"/>
      <c r="Y52" s="32"/>
      <c r="Z52" s="29"/>
      <c r="AA52" s="35"/>
      <c r="AB52" s="29"/>
      <c r="AC52" s="29"/>
      <c r="AD52" s="29"/>
      <c r="AE52" s="29"/>
      <c r="AF52" s="29"/>
      <c r="AG52" s="30"/>
      <c r="AH52" s="29"/>
      <c r="AI52" s="36" t="str">
        <f aca="true">IF(OR(C52="",AH52="Closed",AH52="Void – logged in error",AG52=""),"",IF(AG52&lt;TODAY(),"OVERDUE",IF(AG52-TODAY()&lt;='Start here'!$C$8,"Due soon","On track")))</f>
        <v/>
      </c>
      <c r="AJ52" s="29"/>
      <c r="AK52" s="29"/>
      <c r="AL52" s="30"/>
      <c r="AM52" s="37" t="str">
        <f aca="false">IF(AND(C52&lt;&gt;"",AH52&lt;&gt;"Closed",AH52&lt;&gt;"Void – logged in error",OR(AH52&lt;&gt;"",AD52&lt;&gt;"",AE52&lt;&gt;"",AF52&lt;&gt;"",AG52&lt;&gt;"")),ROW(),"")</f>
        <v/>
      </c>
    </row>
    <row r="53" customFormat="false" ht="30" hidden="false" customHeight="true" outlineLevel="0" collapsed="false">
      <c r="A53" s="28" t="str">
        <f aca="false">IF(C53="","","INC-"&amp;YEAR(C53)&amp;"-"&amp;TEXT(COUNTIFS($C$6:C53,"&gt;="&amp;DATE(YEAR(C53),1,1),$C$6:C53,"&lt;="&amp;DATE(YEAR(C53),12,31)),"000"))</f>
        <v/>
      </c>
      <c r="B53" s="29"/>
      <c r="C53" s="30"/>
      <c r="D53" s="31"/>
      <c r="E53" s="30"/>
      <c r="F53" s="29"/>
      <c r="G53" s="29"/>
      <c r="H53" s="29"/>
      <c r="I53" s="29"/>
      <c r="J53" s="29"/>
      <c r="K53" s="29"/>
      <c r="L53" s="29"/>
      <c r="M53" s="29"/>
      <c r="N53" s="29"/>
      <c r="O53" s="29"/>
      <c r="P53" s="29"/>
      <c r="Q53" s="32"/>
      <c r="R53" s="29"/>
      <c r="S53" s="29"/>
      <c r="T53" s="33" t="str">
        <f aca="false">IF(AH53="Void – logged in error","",IF(OR(C53="",S53=""),IF(C53="","","Decide"),IF(OR(S53="Not reportable",S53="Over-3-day injury (record only)"),"No","Yes")))</f>
        <v/>
      </c>
      <c r="U53" s="34" t="str">
        <f aca="false">IF(OR(C53="",S53=""),"",IF(S53="Over-7-day injury",C53+15,IF(OR(S53="Death",S53="Specified injury",S53="Member of public to hospital",S53="Dangerous occurrence"),C53+10,"")))</f>
        <v/>
      </c>
      <c r="V53" s="28" t="str">
        <f aca="true">IF(C53="","",IF(AH53="Void – logged in error","Void",IF(W53&lt;&gt;"","Done – reported",IF(S53="Occupational disease","REPORT NOW – on diagnosis",IF(ISNUMBER(U53),IF(U53&lt;TODAY(),"OVERDUE – report now",IF(U53=TODAY(),"DUE TODAY",IF(U53-TODAY()&lt;='Start here'!$C$7,"DUE in "&amp;(U53-TODAY())&amp;" days",IF(OR(S53="Death",S53="Specified injury",S53="Member of public to hospital",S53="Dangerous occurrence"),"REPORT without delay","Report by date shown")))),IF(AND(N(Q53)&gt;7,OR(S53="",S53="Not reportable",S53="Over-3-day injury (record only)")),"CHECK – over 7 days off",IF(S53="","Decide RIDDOR",IF(S53="Over-3-day injury (record only)","Record only","Not reportable"))))))))</f>
        <v/>
      </c>
      <c r="W53" s="30"/>
      <c r="X53" s="29"/>
      <c r="Y53" s="32"/>
      <c r="Z53" s="29"/>
      <c r="AA53" s="35"/>
      <c r="AB53" s="29"/>
      <c r="AC53" s="29"/>
      <c r="AD53" s="29"/>
      <c r="AE53" s="29"/>
      <c r="AF53" s="29"/>
      <c r="AG53" s="30"/>
      <c r="AH53" s="29"/>
      <c r="AI53" s="36" t="str">
        <f aca="true">IF(OR(C53="",AH53="Closed",AH53="Void – logged in error",AG53=""),"",IF(AG53&lt;TODAY(),"OVERDUE",IF(AG53-TODAY()&lt;='Start here'!$C$8,"Due soon","On track")))</f>
        <v/>
      </c>
      <c r="AJ53" s="29"/>
      <c r="AK53" s="29"/>
      <c r="AL53" s="30"/>
      <c r="AM53" s="37" t="str">
        <f aca="false">IF(AND(C53&lt;&gt;"",AH53&lt;&gt;"Closed",AH53&lt;&gt;"Void – logged in error",OR(AH53&lt;&gt;"",AD53&lt;&gt;"",AE53&lt;&gt;"",AF53&lt;&gt;"",AG53&lt;&gt;"")),ROW(),"")</f>
        <v/>
      </c>
    </row>
    <row r="54" customFormat="false" ht="30" hidden="false" customHeight="true" outlineLevel="0" collapsed="false">
      <c r="A54" s="28" t="str">
        <f aca="false">IF(C54="","","INC-"&amp;YEAR(C54)&amp;"-"&amp;TEXT(COUNTIFS($C$6:C54,"&gt;="&amp;DATE(YEAR(C54),1,1),$C$6:C54,"&lt;="&amp;DATE(YEAR(C54),12,31)),"000"))</f>
        <v/>
      </c>
      <c r="B54" s="29"/>
      <c r="C54" s="30"/>
      <c r="D54" s="31"/>
      <c r="E54" s="30"/>
      <c r="F54" s="29"/>
      <c r="G54" s="29"/>
      <c r="H54" s="29"/>
      <c r="I54" s="29"/>
      <c r="J54" s="29"/>
      <c r="K54" s="29"/>
      <c r="L54" s="29"/>
      <c r="M54" s="29"/>
      <c r="N54" s="29"/>
      <c r="O54" s="29"/>
      <c r="P54" s="29"/>
      <c r="Q54" s="32"/>
      <c r="R54" s="29"/>
      <c r="S54" s="29"/>
      <c r="T54" s="33" t="str">
        <f aca="false">IF(AH54="Void – logged in error","",IF(OR(C54="",S54=""),IF(C54="","","Decide"),IF(OR(S54="Not reportable",S54="Over-3-day injury (record only)"),"No","Yes")))</f>
        <v/>
      </c>
      <c r="U54" s="34" t="str">
        <f aca="false">IF(OR(C54="",S54=""),"",IF(S54="Over-7-day injury",C54+15,IF(OR(S54="Death",S54="Specified injury",S54="Member of public to hospital",S54="Dangerous occurrence"),C54+10,"")))</f>
        <v/>
      </c>
      <c r="V54" s="28" t="str">
        <f aca="true">IF(C54="","",IF(AH54="Void – logged in error","Void",IF(W54&lt;&gt;"","Done – reported",IF(S54="Occupational disease","REPORT NOW – on diagnosis",IF(ISNUMBER(U54),IF(U54&lt;TODAY(),"OVERDUE – report now",IF(U54=TODAY(),"DUE TODAY",IF(U54-TODAY()&lt;='Start here'!$C$7,"DUE in "&amp;(U54-TODAY())&amp;" days",IF(OR(S54="Death",S54="Specified injury",S54="Member of public to hospital",S54="Dangerous occurrence"),"REPORT without delay","Report by date shown")))),IF(AND(N(Q54)&gt;7,OR(S54="",S54="Not reportable",S54="Over-3-day injury (record only)")),"CHECK – over 7 days off",IF(S54="","Decide RIDDOR",IF(S54="Over-3-day injury (record only)","Record only","Not reportable"))))))))</f>
        <v/>
      </c>
      <c r="W54" s="30"/>
      <c r="X54" s="29"/>
      <c r="Y54" s="32"/>
      <c r="Z54" s="29"/>
      <c r="AA54" s="35"/>
      <c r="AB54" s="29"/>
      <c r="AC54" s="29"/>
      <c r="AD54" s="29"/>
      <c r="AE54" s="29"/>
      <c r="AF54" s="29"/>
      <c r="AG54" s="30"/>
      <c r="AH54" s="29"/>
      <c r="AI54" s="36" t="str">
        <f aca="true">IF(OR(C54="",AH54="Closed",AH54="Void – logged in error",AG54=""),"",IF(AG54&lt;TODAY(),"OVERDUE",IF(AG54-TODAY()&lt;='Start here'!$C$8,"Due soon","On track")))</f>
        <v/>
      </c>
      <c r="AJ54" s="29"/>
      <c r="AK54" s="29"/>
      <c r="AL54" s="30"/>
      <c r="AM54" s="37" t="str">
        <f aca="false">IF(AND(C54&lt;&gt;"",AH54&lt;&gt;"Closed",AH54&lt;&gt;"Void – logged in error",OR(AH54&lt;&gt;"",AD54&lt;&gt;"",AE54&lt;&gt;"",AF54&lt;&gt;"",AG54&lt;&gt;"")),ROW(),"")</f>
        <v/>
      </c>
    </row>
    <row r="55" customFormat="false" ht="30" hidden="false" customHeight="true" outlineLevel="0" collapsed="false">
      <c r="A55" s="28" t="str">
        <f aca="false">IF(C55="","","INC-"&amp;YEAR(C55)&amp;"-"&amp;TEXT(COUNTIFS($C$6:C55,"&gt;="&amp;DATE(YEAR(C55),1,1),$C$6:C55,"&lt;="&amp;DATE(YEAR(C55),12,31)),"000"))</f>
        <v/>
      </c>
      <c r="B55" s="29"/>
      <c r="C55" s="30"/>
      <c r="D55" s="31"/>
      <c r="E55" s="30"/>
      <c r="F55" s="29"/>
      <c r="G55" s="29"/>
      <c r="H55" s="29"/>
      <c r="I55" s="29"/>
      <c r="J55" s="29"/>
      <c r="K55" s="29"/>
      <c r="L55" s="29"/>
      <c r="M55" s="29"/>
      <c r="N55" s="29"/>
      <c r="O55" s="29"/>
      <c r="P55" s="29"/>
      <c r="Q55" s="32"/>
      <c r="R55" s="29"/>
      <c r="S55" s="29"/>
      <c r="T55" s="33" t="str">
        <f aca="false">IF(AH55="Void – logged in error","",IF(OR(C55="",S55=""),IF(C55="","","Decide"),IF(OR(S55="Not reportable",S55="Over-3-day injury (record only)"),"No","Yes")))</f>
        <v/>
      </c>
      <c r="U55" s="34" t="str">
        <f aca="false">IF(OR(C55="",S55=""),"",IF(S55="Over-7-day injury",C55+15,IF(OR(S55="Death",S55="Specified injury",S55="Member of public to hospital",S55="Dangerous occurrence"),C55+10,"")))</f>
        <v/>
      </c>
      <c r="V55" s="28" t="str">
        <f aca="true">IF(C55="","",IF(AH55="Void – logged in error","Void",IF(W55&lt;&gt;"","Done – reported",IF(S55="Occupational disease","REPORT NOW – on diagnosis",IF(ISNUMBER(U55),IF(U55&lt;TODAY(),"OVERDUE – report now",IF(U55=TODAY(),"DUE TODAY",IF(U55-TODAY()&lt;='Start here'!$C$7,"DUE in "&amp;(U55-TODAY())&amp;" days",IF(OR(S55="Death",S55="Specified injury",S55="Member of public to hospital",S55="Dangerous occurrence"),"REPORT without delay","Report by date shown")))),IF(AND(N(Q55)&gt;7,OR(S55="",S55="Not reportable",S55="Over-3-day injury (record only)")),"CHECK – over 7 days off",IF(S55="","Decide RIDDOR",IF(S55="Over-3-day injury (record only)","Record only","Not reportable"))))))))</f>
        <v/>
      </c>
      <c r="W55" s="30"/>
      <c r="X55" s="29"/>
      <c r="Y55" s="32"/>
      <c r="Z55" s="29"/>
      <c r="AA55" s="35"/>
      <c r="AB55" s="29"/>
      <c r="AC55" s="29"/>
      <c r="AD55" s="29"/>
      <c r="AE55" s="29"/>
      <c r="AF55" s="29"/>
      <c r="AG55" s="30"/>
      <c r="AH55" s="29"/>
      <c r="AI55" s="36" t="str">
        <f aca="true">IF(OR(C55="",AH55="Closed",AH55="Void – logged in error",AG55=""),"",IF(AG55&lt;TODAY(),"OVERDUE",IF(AG55-TODAY()&lt;='Start here'!$C$8,"Due soon","On track")))</f>
        <v/>
      </c>
      <c r="AJ55" s="29"/>
      <c r="AK55" s="29"/>
      <c r="AL55" s="30"/>
      <c r="AM55" s="37" t="str">
        <f aca="false">IF(AND(C55&lt;&gt;"",AH55&lt;&gt;"Closed",AH55&lt;&gt;"Void – logged in error",OR(AH55&lt;&gt;"",AD55&lt;&gt;"",AE55&lt;&gt;"",AF55&lt;&gt;"",AG55&lt;&gt;"")),ROW(),"")</f>
        <v/>
      </c>
    </row>
    <row r="56" customFormat="false" ht="30" hidden="false" customHeight="true" outlineLevel="0" collapsed="false">
      <c r="A56" s="28" t="str">
        <f aca="false">IF(C56="","","INC-"&amp;YEAR(C56)&amp;"-"&amp;TEXT(COUNTIFS($C$6:C56,"&gt;="&amp;DATE(YEAR(C56),1,1),$C$6:C56,"&lt;="&amp;DATE(YEAR(C56),12,31)),"000"))</f>
        <v/>
      </c>
      <c r="B56" s="29"/>
      <c r="C56" s="30"/>
      <c r="D56" s="31"/>
      <c r="E56" s="30"/>
      <c r="F56" s="29"/>
      <c r="G56" s="29"/>
      <c r="H56" s="29"/>
      <c r="I56" s="29"/>
      <c r="J56" s="29"/>
      <c r="K56" s="29"/>
      <c r="L56" s="29"/>
      <c r="M56" s="29"/>
      <c r="N56" s="29"/>
      <c r="O56" s="29"/>
      <c r="P56" s="29"/>
      <c r="Q56" s="32"/>
      <c r="R56" s="29"/>
      <c r="S56" s="29"/>
      <c r="T56" s="33" t="str">
        <f aca="false">IF(AH56="Void – logged in error","",IF(OR(C56="",S56=""),IF(C56="","","Decide"),IF(OR(S56="Not reportable",S56="Over-3-day injury (record only)"),"No","Yes")))</f>
        <v/>
      </c>
      <c r="U56" s="34" t="str">
        <f aca="false">IF(OR(C56="",S56=""),"",IF(S56="Over-7-day injury",C56+15,IF(OR(S56="Death",S56="Specified injury",S56="Member of public to hospital",S56="Dangerous occurrence"),C56+10,"")))</f>
        <v/>
      </c>
      <c r="V56" s="28" t="str">
        <f aca="true">IF(C56="","",IF(AH56="Void – logged in error","Void",IF(W56&lt;&gt;"","Done – reported",IF(S56="Occupational disease","REPORT NOW – on diagnosis",IF(ISNUMBER(U56),IF(U56&lt;TODAY(),"OVERDUE – report now",IF(U56=TODAY(),"DUE TODAY",IF(U56-TODAY()&lt;='Start here'!$C$7,"DUE in "&amp;(U56-TODAY())&amp;" days",IF(OR(S56="Death",S56="Specified injury",S56="Member of public to hospital",S56="Dangerous occurrence"),"REPORT without delay","Report by date shown")))),IF(AND(N(Q56)&gt;7,OR(S56="",S56="Not reportable",S56="Over-3-day injury (record only)")),"CHECK – over 7 days off",IF(S56="","Decide RIDDOR",IF(S56="Over-3-day injury (record only)","Record only","Not reportable"))))))))</f>
        <v/>
      </c>
      <c r="W56" s="30"/>
      <c r="X56" s="29"/>
      <c r="Y56" s="32"/>
      <c r="Z56" s="29"/>
      <c r="AA56" s="35"/>
      <c r="AB56" s="29"/>
      <c r="AC56" s="29"/>
      <c r="AD56" s="29"/>
      <c r="AE56" s="29"/>
      <c r="AF56" s="29"/>
      <c r="AG56" s="30"/>
      <c r="AH56" s="29"/>
      <c r="AI56" s="36" t="str">
        <f aca="true">IF(OR(C56="",AH56="Closed",AH56="Void – logged in error",AG56=""),"",IF(AG56&lt;TODAY(),"OVERDUE",IF(AG56-TODAY()&lt;='Start here'!$C$8,"Due soon","On track")))</f>
        <v/>
      </c>
      <c r="AJ56" s="29"/>
      <c r="AK56" s="29"/>
      <c r="AL56" s="30"/>
      <c r="AM56" s="37" t="str">
        <f aca="false">IF(AND(C56&lt;&gt;"",AH56&lt;&gt;"Closed",AH56&lt;&gt;"Void – logged in error",OR(AH56&lt;&gt;"",AD56&lt;&gt;"",AE56&lt;&gt;"",AF56&lt;&gt;"",AG56&lt;&gt;"")),ROW(),"")</f>
        <v/>
      </c>
    </row>
    <row r="57" customFormat="false" ht="30" hidden="false" customHeight="true" outlineLevel="0" collapsed="false">
      <c r="A57" s="28" t="str">
        <f aca="false">IF(C57="","","INC-"&amp;YEAR(C57)&amp;"-"&amp;TEXT(COUNTIFS($C$6:C57,"&gt;="&amp;DATE(YEAR(C57),1,1),$C$6:C57,"&lt;="&amp;DATE(YEAR(C57),12,31)),"000"))</f>
        <v/>
      </c>
      <c r="B57" s="29"/>
      <c r="C57" s="30"/>
      <c r="D57" s="31"/>
      <c r="E57" s="30"/>
      <c r="F57" s="29"/>
      <c r="G57" s="29"/>
      <c r="H57" s="29"/>
      <c r="I57" s="29"/>
      <c r="J57" s="29"/>
      <c r="K57" s="29"/>
      <c r="L57" s="29"/>
      <c r="M57" s="29"/>
      <c r="N57" s="29"/>
      <c r="O57" s="29"/>
      <c r="P57" s="29"/>
      <c r="Q57" s="32"/>
      <c r="R57" s="29"/>
      <c r="S57" s="29"/>
      <c r="T57" s="33" t="str">
        <f aca="false">IF(AH57="Void – logged in error","",IF(OR(C57="",S57=""),IF(C57="","","Decide"),IF(OR(S57="Not reportable",S57="Over-3-day injury (record only)"),"No","Yes")))</f>
        <v/>
      </c>
      <c r="U57" s="34" t="str">
        <f aca="false">IF(OR(C57="",S57=""),"",IF(S57="Over-7-day injury",C57+15,IF(OR(S57="Death",S57="Specified injury",S57="Member of public to hospital",S57="Dangerous occurrence"),C57+10,"")))</f>
        <v/>
      </c>
      <c r="V57" s="28" t="str">
        <f aca="true">IF(C57="","",IF(AH57="Void – logged in error","Void",IF(W57&lt;&gt;"","Done – reported",IF(S57="Occupational disease","REPORT NOW – on diagnosis",IF(ISNUMBER(U57),IF(U57&lt;TODAY(),"OVERDUE – report now",IF(U57=TODAY(),"DUE TODAY",IF(U57-TODAY()&lt;='Start here'!$C$7,"DUE in "&amp;(U57-TODAY())&amp;" days",IF(OR(S57="Death",S57="Specified injury",S57="Member of public to hospital",S57="Dangerous occurrence"),"REPORT without delay","Report by date shown")))),IF(AND(N(Q57)&gt;7,OR(S57="",S57="Not reportable",S57="Over-3-day injury (record only)")),"CHECK – over 7 days off",IF(S57="","Decide RIDDOR",IF(S57="Over-3-day injury (record only)","Record only","Not reportable"))))))))</f>
        <v/>
      </c>
      <c r="W57" s="30"/>
      <c r="X57" s="29"/>
      <c r="Y57" s="32"/>
      <c r="Z57" s="29"/>
      <c r="AA57" s="35"/>
      <c r="AB57" s="29"/>
      <c r="AC57" s="29"/>
      <c r="AD57" s="29"/>
      <c r="AE57" s="29"/>
      <c r="AF57" s="29"/>
      <c r="AG57" s="30"/>
      <c r="AH57" s="29"/>
      <c r="AI57" s="36" t="str">
        <f aca="true">IF(OR(C57="",AH57="Closed",AH57="Void – logged in error",AG57=""),"",IF(AG57&lt;TODAY(),"OVERDUE",IF(AG57-TODAY()&lt;='Start here'!$C$8,"Due soon","On track")))</f>
        <v/>
      </c>
      <c r="AJ57" s="29"/>
      <c r="AK57" s="29"/>
      <c r="AL57" s="30"/>
      <c r="AM57" s="37" t="str">
        <f aca="false">IF(AND(C57&lt;&gt;"",AH57&lt;&gt;"Closed",AH57&lt;&gt;"Void – logged in error",OR(AH57&lt;&gt;"",AD57&lt;&gt;"",AE57&lt;&gt;"",AF57&lt;&gt;"",AG57&lt;&gt;"")),ROW(),"")</f>
        <v/>
      </c>
    </row>
    <row r="58" customFormat="false" ht="30" hidden="false" customHeight="true" outlineLevel="0" collapsed="false">
      <c r="A58" s="28" t="str">
        <f aca="false">IF(C58="","","INC-"&amp;YEAR(C58)&amp;"-"&amp;TEXT(COUNTIFS($C$6:C58,"&gt;="&amp;DATE(YEAR(C58),1,1),$C$6:C58,"&lt;="&amp;DATE(YEAR(C58),12,31)),"000"))</f>
        <v/>
      </c>
      <c r="B58" s="29"/>
      <c r="C58" s="30"/>
      <c r="D58" s="31"/>
      <c r="E58" s="30"/>
      <c r="F58" s="29"/>
      <c r="G58" s="29"/>
      <c r="H58" s="29"/>
      <c r="I58" s="29"/>
      <c r="J58" s="29"/>
      <c r="K58" s="29"/>
      <c r="L58" s="29"/>
      <c r="M58" s="29"/>
      <c r="N58" s="29"/>
      <c r="O58" s="29"/>
      <c r="P58" s="29"/>
      <c r="Q58" s="32"/>
      <c r="R58" s="29"/>
      <c r="S58" s="29"/>
      <c r="T58" s="33" t="str">
        <f aca="false">IF(AH58="Void – logged in error","",IF(OR(C58="",S58=""),IF(C58="","","Decide"),IF(OR(S58="Not reportable",S58="Over-3-day injury (record only)"),"No","Yes")))</f>
        <v/>
      </c>
      <c r="U58" s="34" t="str">
        <f aca="false">IF(OR(C58="",S58=""),"",IF(S58="Over-7-day injury",C58+15,IF(OR(S58="Death",S58="Specified injury",S58="Member of public to hospital",S58="Dangerous occurrence"),C58+10,"")))</f>
        <v/>
      </c>
      <c r="V58" s="28" t="str">
        <f aca="true">IF(C58="","",IF(AH58="Void – logged in error","Void",IF(W58&lt;&gt;"","Done – reported",IF(S58="Occupational disease","REPORT NOW – on diagnosis",IF(ISNUMBER(U58),IF(U58&lt;TODAY(),"OVERDUE – report now",IF(U58=TODAY(),"DUE TODAY",IF(U58-TODAY()&lt;='Start here'!$C$7,"DUE in "&amp;(U58-TODAY())&amp;" days",IF(OR(S58="Death",S58="Specified injury",S58="Member of public to hospital",S58="Dangerous occurrence"),"REPORT without delay","Report by date shown")))),IF(AND(N(Q58)&gt;7,OR(S58="",S58="Not reportable",S58="Over-3-day injury (record only)")),"CHECK – over 7 days off",IF(S58="","Decide RIDDOR",IF(S58="Over-3-day injury (record only)","Record only","Not reportable"))))))))</f>
        <v/>
      </c>
      <c r="W58" s="30"/>
      <c r="X58" s="29"/>
      <c r="Y58" s="32"/>
      <c r="Z58" s="29"/>
      <c r="AA58" s="35"/>
      <c r="AB58" s="29"/>
      <c r="AC58" s="29"/>
      <c r="AD58" s="29"/>
      <c r="AE58" s="29"/>
      <c r="AF58" s="29"/>
      <c r="AG58" s="30"/>
      <c r="AH58" s="29"/>
      <c r="AI58" s="36" t="str">
        <f aca="true">IF(OR(C58="",AH58="Closed",AH58="Void – logged in error",AG58=""),"",IF(AG58&lt;TODAY(),"OVERDUE",IF(AG58-TODAY()&lt;='Start here'!$C$8,"Due soon","On track")))</f>
        <v/>
      </c>
      <c r="AJ58" s="29"/>
      <c r="AK58" s="29"/>
      <c r="AL58" s="30"/>
      <c r="AM58" s="37" t="str">
        <f aca="false">IF(AND(C58&lt;&gt;"",AH58&lt;&gt;"Closed",AH58&lt;&gt;"Void – logged in error",OR(AH58&lt;&gt;"",AD58&lt;&gt;"",AE58&lt;&gt;"",AF58&lt;&gt;"",AG58&lt;&gt;"")),ROW(),"")</f>
        <v/>
      </c>
    </row>
    <row r="59" customFormat="false" ht="30" hidden="false" customHeight="true" outlineLevel="0" collapsed="false">
      <c r="A59" s="28" t="str">
        <f aca="false">IF(C59="","","INC-"&amp;YEAR(C59)&amp;"-"&amp;TEXT(COUNTIFS($C$6:C59,"&gt;="&amp;DATE(YEAR(C59),1,1),$C$6:C59,"&lt;="&amp;DATE(YEAR(C59),12,31)),"000"))</f>
        <v/>
      </c>
      <c r="B59" s="29"/>
      <c r="C59" s="30"/>
      <c r="D59" s="31"/>
      <c r="E59" s="30"/>
      <c r="F59" s="29"/>
      <c r="G59" s="29"/>
      <c r="H59" s="29"/>
      <c r="I59" s="29"/>
      <c r="J59" s="29"/>
      <c r="K59" s="29"/>
      <c r="L59" s="29"/>
      <c r="M59" s="29"/>
      <c r="N59" s="29"/>
      <c r="O59" s="29"/>
      <c r="P59" s="29"/>
      <c r="Q59" s="32"/>
      <c r="R59" s="29"/>
      <c r="S59" s="29"/>
      <c r="T59" s="33" t="str">
        <f aca="false">IF(AH59="Void – logged in error","",IF(OR(C59="",S59=""),IF(C59="","","Decide"),IF(OR(S59="Not reportable",S59="Over-3-day injury (record only)"),"No","Yes")))</f>
        <v/>
      </c>
      <c r="U59" s="34" t="str">
        <f aca="false">IF(OR(C59="",S59=""),"",IF(S59="Over-7-day injury",C59+15,IF(OR(S59="Death",S59="Specified injury",S59="Member of public to hospital",S59="Dangerous occurrence"),C59+10,"")))</f>
        <v/>
      </c>
      <c r="V59" s="28" t="str">
        <f aca="true">IF(C59="","",IF(AH59="Void – logged in error","Void",IF(W59&lt;&gt;"","Done – reported",IF(S59="Occupational disease","REPORT NOW – on diagnosis",IF(ISNUMBER(U59),IF(U59&lt;TODAY(),"OVERDUE – report now",IF(U59=TODAY(),"DUE TODAY",IF(U59-TODAY()&lt;='Start here'!$C$7,"DUE in "&amp;(U59-TODAY())&amp;" days",IF(OR(S59="Death",S59="Specified injury",S59="Member of public to hospital",S59="Dangerous occurrence"),"REPORT without delay","Report by date shown")))),IF(AND(N(Q59)&gt;7,OR(S59="",S59="Not reportable",S59="Over-3-day injury (record only)")),"CHECK – over 7 days off",IF(S59="","Decide RIDDOR",IF(S59="Over-3-day injury (record only)","Record only","Not reportable"))))))))</f>
        <v/>
      </c>
      <c r="W59" s="30"/>
      <c r="X59" s="29"/>
      <c r="Y59" s="32"/>
      <c r="Z59" s="29"/>
      <c r="AA59" s="35"/>
      <c r="AB59" s="29"/>
      <c r="AC59" s="29"/>
      <c r="AD59" s="29"/>
      <c r="AE59" s="29"/>
      <c r="AF59" s="29"/>
      <c r="AG59" s="30"/>
      <c r="AH59" s="29"/>
      <c r="AI59" s="36" t="str">
        <f aca="true">IF(OR(C59="",AH59="Closed",AH59="Void – logged in error",AG59=""),"",IF(AG59&lt;TODAY(),"OVERDUE",IF(AG59-TODAY()&lt;='Start here'!$C$8,"Due soon","On track")))</f>
        <v/>
      </c>
      <c r="AJ59" s="29"/>
      <c r="AK59" s="29"/>
      <c r="AL59" s="30"/>
      <c r="AM59" s="37" t="str">
        <f aca="false">IF(AND(C59&lt;&gt;"",AH59&lt;&gt;"Closed",AH59&lt;&gt;"Void – logged in error",OR(AH59&lt;&gt;"",AD59&lt;&gt;"",AE59&lt;&gt;"",AF59&lt;&gt;"",AG59&lt;&gt;"")),ROW(),"")</f>
        <v/>
      </c>
    </row>
    <row r="60" customFormat="false" ht="30" hidden="false" customHeight="true" outlineLevel="0" collapsed="false">
      <c r="A60" s="28" t="str">
        <f aca="false">IF(C60="","","INC-"&amp;YEAR(C60)&amp;"-"&amp;TEXT(COUNTIFS($C$6:C60,"&gt;="&amp;DATE(YEAR(C60),1,1),$C$6:C60,"&lt;="&amp;DATE(YEAR(C60),12,31)),"000"))</f>
        <v/>
      </c>
      <c r="B60" s="29"/>
      <c r="C60" s="30"/>
      <c r="D60" s="31"/>
      <c r="E60" s="30"/>
      <c r="F60" s="29"/>
      <c r="G60" s="29"/>
      <c r="H60" s="29"/>
      <c r="I60" s="29"/>
      <c r="J60" s="29"/>
      <c r="K60" s="29"/>
      <c r="L60" s="29"/>
      <c r="M60" s="29"/>
      <c r="N60" s="29"/>
      <c r="O60" s="29"/>
      <c r="P60" s="29"/>
      <c r="Q60" s="32"/>
      <c r="R60" s="29"/>
      <c r="S60" s="29"/>
      <c r="T60" s="33" t="str">
        <f aca="false">IF(AH60="Void – logged in error","",IF(OR(C60="",S60=""),IF(C60="","","Decide"),IF(OR(S60="Not reportable",S60="Over-3-day injury (record only)"),"No","Yes")))</f>
        <v/>
      </c>
      <c r="U60" s="34" t="str">
        <f aca="false">IF(OR(C60="",S60=""),"",IF(S60="Over-7-day injury",C60+15,IF(OR(S60="Death",S60="Specified injury",S60="Member of public to hospital",S60="Dangerous occurrence"),C60+10,"")))</f>
        <v/>
      </c>
      <c r="V60" s="28" t="str">
        <f aca="true">IF(C60="","",IF(AH60="Void – logged in error","Void",IF(W60&lt;&gt;"","Done – reported",IF(S60="Occupational disease","REPORT NOW – on diagnosis",IF(ISNUMBER(U60),IF(U60&lt;TODAY(),"OVERDUE – report now",IF(U60=TODAY(),"DUE TODAY",IF(U60-TODAY()&lt;='Start here'!$C$7,"DUE in "&amp;(U60-TODAY())&amp;" days",IF(OR(S60="Death",S60="Specified injury",S60="Member of public to hospital",S60="Dangerous occurrence"),"REPORT without delay","Report by date shown")))),IF(AND(N(Q60)&gt;7,OR(S60="",S60="Not reportable",S60="Over-3-day injury (record only)")),"CHECK – over 7 days off",IF(S60="","Decide RIDDOR",IF(S60="Over-3-day injury (record only)","Record only","Not reportable"))))))))</f>
        <v/>
      </c>
      <c r="W60" s="30"/>
      <c r="X60" s="29"/>
      <c r="Y60" s="32"/>
      <c r="Z60" s="29"/>
      <c r="AA60" s="35"/>
      <c r="AB60" s="29"/>
      <c r="AC60" s="29"/>
      <c r="AD60" s="29"/>
      <c r="AE60" s="29"/>
      <c r="AF60" s="29"/>
      <c r="AG60" s="30"/>
      <c r="AH60" s="29"/>
      <c r="AI60" s="36" t="str">
        <f aca="true">IF(OR(C60="",AH60="Closed",AH60="Void – logged in error",AG60=""),"",IF(AG60&lt;TODAY(),"OVERDUE",IF(AG60-TODAY()&lt;='Start here'!$C$8,"Due soon","On track")))</f>
        <v/>
      </c>
      <c r="AJ60" s="29"/>
      <c r="AK60" s="29"/>
      <c r="AL60" s="30"/>
      <c r="AM60" s="37" t="str">
        <f aca="false">IF(AND(C60&lt;&gt;"",AH60&lt;&gt;"Closed",AH60&lt;&gt;"Void – logged in error",OR(AH60&lt;&gt;"",AD60&lt;&gt;"",AE60&lt;&gt;"",AF60&lt;&gt;"",AG60&lt;&gt;"")),ROW(),"")</f>
        <v/>
      </c>
    </row>
    <row r="61" customFormat="false" ht="30" hidden="false" customHeight="true" outlineLevel="0" collapsed="false">
      <c r="A61" s="28" t="str">
        <f aca="false">IF(C61="","","INC-"&amp;YEAR(C61)&amp;"-"&amp;TEXT(COUNTIFS($C$6:C61,"&gt;="&amp;DATE(YEAR(C61),1,1),$C$6:C61,"&lt;="&amp;DATE(YEAR(C61),12,31)),"000"))</f>
        <v/>
      </c>
      <c r="B61" s="29"/>
      <c r="C61" s="30"/>
      <c r="D61" s="31"/>
      <c r="E61" s="30"/>
      <c r="F61" s="29"/>
      <c r="G61" s="29"/>
      <c r="H61" s="29"/>
      <c r="I61" s="29"/>
      <c r="J61" s="29"/>
      <c r="K61" s="29"/>
      <c r="L61" s="29"/>
      <c r="M61" s="29"/>
      <c r="N61" s="29"/>
      <c r="O61" s="29"/>
      <c r="P61" s="29"/>
      <c r="Q61" s="32"/>
      <c r="R61" s="29"/>
      <c r="S61" s="29"/>
      <c r="T61" s="33" t="str">
        <f aca="false">IF(AH61="Void – logged in error","",IF(OR(C61="",S61=""),IF(C61="","","Decide"),IF(OR(S61="Not reportable",S61="Over-3-day injury (record only)"),"No","Yes")))</f>
        <v/>
      </c>
      <c r="U61" s="34" t="str">
        <f aca="false">IF(OR(C61="",S61=""),"",IF(S61="Over-7-day injury",C61+15,IF(OR(S61="Death",S61="Specified injury",S61="Member of public to hospital",S61="Dangerous occurrence"),C61+10,"")))</f>
        <v/>
      </c>
      <c r="V61" s="28" t="str">
        <f aca="true">IF(C61="","",IF(AH61="Void – logged in error","Void",IF(W61&lt;&gt;"","Done – reported",IF(S61="Occupational disease","REPORT NOW – on diagnosis",IF(ISNUMBER(U61),IF(U61&lt;TODAY(),"OVERDUE – report now",IF(U61=TODAY(),"DUE TODAY",IF(U61-TODAY()&lt;='Start here'!$C$7,"DUE in "&amp;(U61-TODAY())&amp;" days",IF(OR(S61="Death",S61="Specified injury",S61="Member of public to hospital",S61="Dangerous occurrence"),"REPORT without delay","Report by date shown")))),IF(AND(N(Q61)&gt;7,OR(S61="",S61="Not reportable",S61="Over-3-day injury (record only)")),"CHECK – over 7 days off",IF(S61="","Decide RIDDOR",IF(S61="Over-3-day injury (record only)","Record only","Not reportable"))))))))</f>
        <v/>
      </c>
      <c r="W61" s="30"/>
      <c r="X61" s="29"/>
      <c r="Y61" s="32"/>
      <c r="Z61" s="29"/>
      <c r="AA61" s="35"/>
      <c r="AB61" s="29"/>
      <c r="AC61" s="29"/>
      <c r="AD61" s="29"/>
      <c r="AE61" s="29"/>
      <c r="AF61" s="29"/>
      <c r="AG61" s="30"/>
      <c r="AH61" s="29"/>
      <c r="AI61" s="36" t="str">
        <f aca="true">IF(OR(C61="",AH61="Closed",AH61="Void – logged in error",AG61=""),"",IF(AG61&lt;TODAY(),"OVERDUE",IF(AG61-TODAY()&lt;='Start here'!$C$8,"Due soon","On track")))</f>
        <v/>
      </c>
      <c r="AJ61" s="29"/>
      <c r="AK61" s="29"/>
      <c r="AL61" s="30"/>
      <c r="AM61" s="37" t="str">
        <f aca="false">IF(AND(C61&lt;&gt;"",AH61&lt;&gt;"Closed",AH61&lt;&gt;"Void – logged in error",OR(AH61&lt;&gt;"",AD61&lt;&gt;"",AE61&lt;&gt;"",AF61&lt;&gt;"",AG61&lt;&gt;"")),ROW(),"")</f>
        <v/>
      </c>
    </row>
    <row r="62" customFormat="false" ht="30" hidden="false" customHeight="true" outlineLevel="0" collapsed="false">
      <c r="A62" s="28" t="str">
        <f aca="false">IF(C62="","","INC-"&amp;YEAR(C62)&amp;"-"&amp;TEXT(COUNTIFS($C$6:C62,"&gt;="&amp;DATE(YEAR(C62),1,1),$C$6:C62,"&lt;="&amp;DATE(YEAR(C62),12,31)),"000"))</f>
        <v/>
      </c>
      <c r="B62" s="29"/>
      <c r="C62" s="30"/>
      <c r="D62" s="31"/>
      <c r="E62" s="30"/>
      <c r="F62" s="29"/>
      <c r="G62" s="29"/>
      <c r="H62" s="29"/>
      <c r="I62" s="29"/>
      <c r="J62" s="29"/>
      <c r="K62" s="29"/>
      <c r="L62" s="29"/>
      <c r="M62" s="29"/>
      <c r="N62" s="29"/>
      <c r="O62" s="29"/>
      <c r="P62" s="29"/>
      <c r="Q62" s="32"/>
      <c r="R62" s="29"/>
      <c r="S62" s="29"/>
      <c r="T62" s="33" t="str">
        <f aca="false">IF(AH62="Void – logged in error","",IF(OR(C62="",S62=""),IF(C62="","","Decide"),IF(OR(S62="Not reportable",S62="Over-3-day injury (record only)"),"No","Yes")))</f>
        <v/>
      </c>
      <c r="U62" s="34" t="str">
        <f aca="false">IF(OR(C62="",S62=""),"",IF(S62="Over-7-day injury",C62+15,IF(OR(S62="Death",S62="Specified injury",S62="Member of public to hospital",S62="Dangerous occurrence"),C62+10,"")))</f>
        <v/>
      </c>
      <c r="V62" s="28" t="str">
        <f aca="true">IF(C62="","",IF(AH62="Void – logged in error","Void",IF(W62&lt;&gt;"","Done – reported",IF(S62="Occupational disease","REPORT NOW – on diagnosis",IF(ISNUMBER(U62),IF(U62&lt;TODAY(),"OVERDUE – report now",IF(U62=TODAY(),"DUE TODAY",IF(U62-TODAY()&lt;='Start here'!$C$7,"DUE in "&amp;(U62-TODAY())&amp;" days",IF(OR(S62="Death",S62="Specified injury",S62="Member of public to hospital",S62="Dangerous occurrence"),"REPORT without delay","Report by date shown")))),IF(AND(N(Q62)&gt;7,OR(S62="",S62="Not reportable",S62="Over-3-day injury (record only)")),"CHECK – over 7 days off",IF(S62="","Decide RIDDOR",IF(S62="Over-3-day injury (record only)","Record only","Not reportable"))))))))</f>
        <v/>
      </c>
      <c r="W62" s="30"/>
      <c r="X62" s="29"/>
      <c r="Y62" s="32"/>
      <c r="Z62" s="29"/>
      <c r="AA62" s="35"/>
      <c r="AB62" s="29"/>
      <c r="AC62" s="29"/>
      <c r="AD62" s="29"/>
      <c r="AE62" s="29"/>
      <c r="AF62" s="29"/>
      <c r="AG62" s="30"/>
      <c r="AH62" s="29"/>
      <c r="AI62" s="36" t="str">
        <f aca="true">IF(OR(C62="",AH62="Closed",AH62="Void – logged in error",AG62=""),"",IF(AG62&lt;TODAY(),"OVERDUE",IF(AG62-TODAY()&lt;='Start here'!$C$8,"Due soon","On track")))</f>
        <v/>
      </c>
      <c r="AJ62" s="29"/>
      <c r="AK62" s="29"/>
      <c r="AL62" s="30"/>
      <c r="AM62" s="37" t="str">
        <f aca="false">IF(AND(C62&lt;&gt;"",AH62&lt;&gt;"Closed",AH62&lt;&gt;"Void – logged in error",OR(AH62&lt;&gt;"",AD62&lt;&gt;"",AE62&lt;&gt;"",AF62&lt;&gt;"",AG62&lt;&gt;"")),ROW(),"")</f>
        <v/>
      </c>
    </row>
    <row r="63" customFormat="false" ht="30" hidden="false" customHeight="true" outlineLevel="0" collapsed="false">
      <c r="A63" s="28" t="str">
        <f aca="false">IF(C63="","","INC-"&amp;YEAR(C63)&amp;"-"&amp;TEXT(COUNTIFS($C$6:C63,"&gt;="&amp;DATE(YEAR(C63),1,1),$C$6:C63,"&lt;="&amp;DATE(YEAR(C63),12,31)),"000"))</f>
        <v/>
      </c>
      <c r="B63" s="29"/>
      <c r="C63" s="30"/>
      <c r="D63" s="31"/>
      <c r="E63" s="30"/>
      <c r="F63" s="29"/>
      <c r="G63" s="29"/>
      <c r="H63" s="29"/>
      <c r="I63" s="29"/>
      <c r="J63" s="29"/>
      <c r="K63" s="29"/>
      <c r="L63" s="29"/>
      <c r="M63" s="29"/>
      <c r="N63" s="29"/>
      <c r="O63" s="29"/>
      <c r="P63" s="29"/>
      <c r="Q63" s="32"/>
      <c r="R63" s="29"/>
      <c r="S63" s="29"/>
      <c r="T63" s="33" t="str">
        <f aca="false">IF(AH63="Void – logged in error","",IF(OR(C63="",S63=""),IF(C63="","","Decide"),IF(OR(S63="Not reportable",S63="Over-3-day injury (record only)"),"No","Yes")))</f>
        <v/>
      </c>
      <c r="U63" s="34" t="str">
        <f aca="false">IF(OR(C63="",S63=""),"",IF(S63="Over-7-day injury",C63+15,IF(OR(S63="Death",S63="Specified injury",S63="Member of public to hospital",S63="Dangerous occurrence"),C63+10,"")))</f>
        <v/>
      </c>
      <c r="V63" s="28" t="str">
        <f aca="true">IF(C63="","",IF(AH63="Void – logged in error","Void",IF(W63&lt;&gt;"","Done – reported",IF(S63="Occupational disease","REPORT NOW – on diagnosis",IF(ISNUMBER(U63),IF(U63&lt;TODAY(),"OVERDUE – report now",IF(U63=TODAY(),"DUE TODAY",IF(U63-TODAY()&lt;='Start here'!$C$7,"DUE in "&amp;(U63-TODAY())&amp;" days",IF(OR(S63="Death",S63="Specified injury",S63="Member of public to hospital",S63="Dangerous occurrence"),"REPORT without delay","Report by date shown")))),IF(AND(N(Q63)&gt;7,OR(S63="",S63="Not reportable",S63="Over-3-day injury (record only)")),"CHECK – over 7 days off",IF(S63="","Decide RIDDOR",IF(S63="Over-3-day injury (record only)","Record only","Not reportable"))))))))</f>
        <v/>
      </c>
      <c r="W63" s="30"/>
      <c r="X63" s="29"/>
      <c r="Y63" s="32"/>
      <c r="Z63" s="29"/>
      <c r="AA63" s="35"/>
      <c r="AB63" s="29"/>
      <c r="AC63" s="29"/>
      <c r="AD63" s="29"/>
      <c r="AE63" s="29"/>
      <c r="AF63" s="29"/>
      <c r="AG63" s="30"/>
      <c r="AH63" s="29"/>
      <c r="AI63" s="36" t="str">
        <f aca="true">IF(OR(C63="",AH63="Closed",AH63="Void – logged in error",AG63=""),"",IF(AG63&lt;TODAY(),"OVERDUE",IF(AG63-TODAY()&lt;='Start here'!$C$8,"Due soon","On track")))</f>
        <v/>
      </c>
      <c r="AJ63" s="29"/>
      <c r="AK63" s="29"/>
      <c r="AL63" s="30"/>
      <c r="AM63" s="37" t="str">
        <f aca="false">IF(AND(C63&lt;&gt;"",AH63&lt;&gt;"Closed",AH63&lt;&gt;"Void – logged in error",OR(AH63&lt;&gt;"",AD63&lt;&gt;"",AE63&lt;&gt;"",AF63&lt;&gt;"",AG63&lt;&gt;"")),ROW(),"")</f>
        <v/>
      </c>
    </row>
    <row r="64" customFormat="false" ht="30" hidden="false" customHeight="true" outlineLevel="0" collapsed="false">
      <c r="A64" s="28" t="str">
        <f aca="false">IF(C64="","","INC-"&amp;YEAR(C64)&amp;"-"&amp;TEXT(COUNTIFS($C$6:C64,"&gt;="&amp;DATE(YEAR(C64),1,1),$C$6:C64,"&lt;="&amp;DATE(YEAR(C64),12,31)),"000"))</f>
        <v/>
      </c>
      <c r="B64" s="29"/>
      <c r="C64" s="30"/>
      <c r="D64" s="31"/>
      <c r="E64" s="30"/>
      <c r="F64" s="29"/>
      <c r="G64" s="29"/>
      <c r="H64" s="29"/>
      <c r="I64" s="29"/>
      <c r="J64" s="29"/>
      <c r="K64" s="29"/>
      <c r="L64" s="29"/>
      <c r="M64" s="29"/>
      <c r="N64" s="29"/>
      <c r="O64" s="29"/>
      <c r="P64" s="29"/>
      <c r="Q64" s="32"/>
      <c r="R64" s="29"/>
      <c r="S64" s="29"/>
      <c r="T64" s="33" t="str">
        <f aca="false">IF(AH64="Void – logged in error","",IF(OR(C64="",S64=""),IF(C64="","","Decide"),IF(OR(S64="Not reportable",S64="Over-3-day injury (record only)"),"No","Yes")))</f>
        <v/>
      </c>
      <c r="U64" s="34" t="str">
        <f aca="false">IF(OR(C64="",S64=""),"",IF(S64="Over-7-day injury",C64+15,IF(OR(S64="Death",S64="Specified injury",S64="Member of public to hospital",S64="Dangerous occurrence"),C64+10,"")))</f>
        <v/>
      </c>
      <c r="V64" s="28" t="str">
        <f aca="true">IF(C64="","",IF(AH64="Void – logged in error","Void",IF(W64&lt;&gt;"","Done – reported",IF(S64="Occupational disease","REPORT NOW – on diagnosis",IF(ISNUMBER(U64),IF(U64&lt;TODAY(),"OVERDUE – report now",IF(U64=TODAY(),"DUE TODAY",IF(U64-TODAY()&lt;='Start here'!$C$7,"DUE in "&amp;(U64-TODAY())&amp;" days",IF(OR(S64="Death",S64="Specified injury",S64="Member of public to hospital",S64="Dangerous occurrence"),"REPORT without delay","Report by date shown")))),IF(AND(N(Q64)&gt;7,OR(S64="",S64="Not reportable",S64="Over-3-day injury (record only)")),"CHECK – over 7 days off",IF(S64="","Decide RIDDOR",IF(S64="Over-3-day injury (record only)","Record only","Not reportable"))))))))</f>
        <v/>
      </c>
      <c r="W64" s="30"/>
      <c r="X64" s="29"/>
      <c r="Y64" s="32"/>
      <c r="Z64" s="29"/>
      <c r="AA64" s="35"/>
      <c r="AB64" s="29"/>
      <c r="AC64" s="29"/>
      <c r="AD64" s="29"/>
      <c r="AE64" s="29"/>
      <c r="AF64" s="29"/>
      <c r="AG64" s="30"/>
      <c r="AH64" s="29"/>
      <c r="AI64" s="36" t="str">
        <f aca="true">IF(OR(C64="",AH64="Closed",AH64="Void – logged in error",AG64=""),"",IF(AG64&lt;TODAY(),"OVERDUE",IF(AG64-TODAY()&lt;='Start here'!$C$8,"Due soon","On track")))</f>
        <v/>
      </c>
      <c r="AJ64" s="29"/>
      <c r="AK64" s="29"/>
      <c r="AL64" s="30"/>
      <c r="AM64" s="37" t="str">
        <f aca="false">IF(AND(C64&lt;&gt;"",AH64&lt;&gt;"Closed",AH64&lt;&gt;"Void – logged in error",OR(AH64&lt;&gt;"",AD64&lt;&gt;"",AE64&lt;&gt;"",AF64&lt;&gt;"",AG64&lt;&gt;"")),ROW(),"")</f>
        <v/>
      </c>
    </row>
    <row r="65" customFormat="false" ht="30" hidden="false" customHeight="true" outlineLevel="0" collapsed="false">
      <c r="A65" s="28" t="str">
        <f aca="false">IF(C65="","","INC-"&amp;YEAR(C65)&amp;"-"&amp;TEXT(COUNTIFS($C$6:C65,"&gt;="&amp;DATE(YEAR(C65),1,1),$C$6:C65,"&lt;="&amp;DATE(YEAR(C65),12,31)),"000"))</f>
        <v/>
      </c>
      <c r="B65" s="29"/>
      <c r="C65" s="30"/>
      <c r="D65" s="31"/>
      <c r="E65" s="30"/>
      <c r="F65" s="29"/>
      <c r="G65" s="29"/>
      <c r="H65" s="29"/>
      <c r="I65" s="29"/>
      <c r="J65" s="29"/>
      <c r="K65" s="29"/>
      <c r="L65" s="29"/>
      <c r="M65" s="29"/>
      <c r="N65" s="29"/>
      <c r="O65" s="29"/>
      <c r="P65" s="29"/>
      <c r="Q65" s="32"/>
      <c r="R65" s="29"/>
      <c r="S65" s="29"/>
      <c r="T65" s="33" t="str">
        <f aca="false">IF(AH65="Void – logged in error","",IF(OR(C65="",S65=""),IF(C65="","","Decide"),IF(OR(S65="Not reportable",S65="Over-3-day injury (record only)"),"No","Yes")))</f>
        <v/>
      </c>
      <c r="U65" s="34" t="str">
        <f aca="false">IF(OR(C65="",S65=""),"",IF(S65="Over-7-day injury",C65+15,IF(OR(S65="Death",S65="Specified injury",S65="Member of public to hospital",S65="Dangerous occurrence"),C65+10,"")))</f>
        <v/>
      </c>
      <c r="V65" s="28" t="str">
        <f aca="true">IF(C65="","",IF(AH65="Void – logged in error","Void",IF(W65&lt;&gt;"","Done – reported",IF(S65="Occupational disease","REPORT NOW – on diagnosis",IF(ISNUMBER(U65),IF(U65&lt;TODAY(),"OVERDUE – report now",IF(U65=TODAY(),"DUE TODAY",IF(U65-TODAY()&lt;='Start here'!$C$7,"DUE in "&amp;(U65-TODAY())&amp;" days",IF(OR(S65="Death",S65="Specified injury",S65="Member of public to hospital",S65="Dangerous occurrence"),"REPORT without delay","Report by date shown")))),IF(AND(N(Q65)&gt;7,OR(S65="",S65="Not reportable",S65="Over-3-day injury (record only)")),"CHECK – over 7 days off",IF(S65="","Decide RIDDOR",IF(S65="Over-3-day injury (record only)","Record only","Not reportable"))))))))</f>
        <v/>
      </c>
      <c r="W65" s="30"/>
      <c r="X65" s="29"/>
      <c r="Y65" s="32"/>
      <c r="Z65" s="29"/>
      <c r="AA65" s="35"/>
      <c r="AB65" s="29"/>
      <c r="AC65" s="29"/>
      <c r="AD65" s="29"/>
      <c r="AE65" s="29"/>
      <c r="AF65" s="29"/>
      <c r="AG65" s="30"/>
      <c r="AH65" s="29"/>
      <c r="AI65" s="36" t="str">
        <f aca="true">IF(OR(C65="",AH65="Closed",AH65="Void – logged in error",AG65=""),"",IF(AG65&lt;TODAY(),"OVERDUE",IF(AG65-TODAY()&lt;='Start here'!$C$8,"Due soon","On track")))</f>
        <v/>
      </c>
      <c r="AJ65" s="29"/>
      <c r="AK65" s="29"/>
      <c r="AL65" s="30"/>
      <c r="AM65" s="37" t="str">
        <f aca="false">IF(AND(C65&lt;&gt;"",AH65&lt;&gt;"Closed",AH65&lt;&gt;"Void – logged in error",OR(AH65&lt;&gt;"",AD65&lt;&gt;"",AE65&lt;&gt;"",AF65&lt;&gt;"",AG65&lt;&gt;"")),ROW(),"")</f>
        <v/>
      </c>
    </row>
    <row r="66" customFormat="false" ht="30" hidden="false" customHeight="true" outlineLevel="0" collapsed="false">
      <c r="A66" s="28" t="str">
        <f aca="false">IF(C66="","","INC-"&amp;YEAR(C66)&amp;"-"&amp;TEXT(COUNTIFS($C$6:C66,"&gt;="&amp;DATE(YEAR(C66),1,1),$C$6:C66,"&lt;="&amp;DATE(YEAR(C66),12,31)),"000"))</f>
        <v/>
      </c>
      <c r="B66" s="29"/>
      <c r="C66" s="30"/>
      <c r="D66" s="31"/>
      <c r="E66" s="30"/>
      <c r="F66" s="29"/>
      <c r="G66" s="29"/>
      <c r="H66" s="29"/>
      <c r="I66" s="29"/>
      <c r="J66" s="29"/>
      <c r="K66" s="29"/>
      <c r="L66" s="29"/>
      <c r="M66" s="29"/>
      <c r="N66" s="29"/>
      <c r="O66" s="29"/>
      <c r="P66" s="29"/>
      <c r="Q66" s="32"/>
      <c r="R66" s="29"/>
      <c r="S66" s="29"/>
      <c r="T66" s="33" t="str">
        <f aca="false">IF(AH66="Void – logged in error","",IF(OR(C66="",S66=""),IF(C66="","","Decide"),IF(OR(S66="Not reportable",S66="Over-3-day injury (record only)"),"No","Yes")))</f>
        <v/>
      </c>
      <c r="U66" s="34" t="str">
        <f aca="false">IF(OR(C66="",S66=""),"",IF(S66="Over-7-day injury",C66+15,IF(OR(S66="Death",S66="Specified injury",S66="Member of public to hospital",S66="Dangerous occurrence"),C66+10,"")))</f>
        <v/>
      </c>
      <c r="V66" s="28" t="str">
        <f aca="true">IF(C66="","",IF(AH66="Void – logged in error","Void",IF(W66&lt;&gt;"","Done – reported",IF(S66="Occupational disease","REPORT NOW – on diagnosis",IF(ISNUMBER(U66),IF(U66&lt;TODAY(),"OVERDUE – report now",IF(U66=TODAY(),"DUE TODAY",IF(U66-TODAY()&lt;='Start here'!$C$7,"DUE in "&amp;(U66-TODAY())&amp;" days",IF(OR(S66="Death",S66="Specified injury",S66="Member of public to hospital",S66="Dangerous occurrence"),"REPORT without delay","Report by date shown")))),IF(AND(N(Q66)&gt;7,OR(S66="",S66="Not reportable",S66="Over-3-day injury (record only)")),"CHECK – over 7 days off",IF(S66="","Decide RIDDOR",IF(S66="Over-3-day injury (record only)","Record only","Not reportable"))))))))</f>
        <v/>
      </c>
      <c r="W66" s="30"/>
      <c r="X66" s="29"/>
      <c r="Y66" s="32"/>
      <c r="Z66" s="29"/>
      <c r="AA66" s="35"/>
      <c r="AB66" s="29"/>
      <c r="AC66" s="29"/>
      <c r="AD66" s="29"/>
      <c r="AE66" s="29"/>
      <c r="AF66" s="29"/>
      <c r="AG66" s="30"/>
      <c r="AH66" s="29"/>
      <c r="AI66" s="36" t="str">
        <f aca="true">IF(OR(C66="",AH66="Closed",AH66="Void – logged in error",AG66=""),"",IF(AG66&lt;TODAY(),"OVERDUE",IF(AG66-TODAY()&lt;='Start here'!$C$8,"Due soon","On track")))</f>
        <v/>
      </c>
      <c r="AJ66" s="29"/>
      <c r="AK66" s="29"/>
      <c r="AL66" s="30"/>
      <c r="AM66" s="37" t="str">
        <f aca="false">IF(AND(C66&lt;&gt;"",AH66&lt;&gt;"Closed",AH66&lt;&gt;"Void – logged in error",OR(AH66&lt;&gt;"",AD66&lt;&gt;"",AE66&lt;&gt;"",AF66&lt;&gt;"",AG66&lt;&gt;"")),ROW(),"")</f>
        <v/>
      </c>
    </row>
    <row r="67" customFormat="false" ht="30" hidden="false" customHeight="true" outlineLevel="0" collapsed="false">
      <c r="A67" s="28" t="str">
        <f aca="false">IF(C67="","","INC-"&amp;YEAR(C67)&amp;"-"&amp;TEXT(COUNTIFS($C$6:C67,"&gt;="&amp;DATE(YEAR(C67),1,1),$C$6:C67,"&lt;="&amp;DATE(YEAR(C67),12,31)),"000"))</f>
        <v/>
      </c>
      <c r="B67" s="29"/>
      <c r="C67" s="30"/>
      <c r="D67" s="31"/>
      <c r="E67" s="30"/>
      <c r="F67" s="29"/>
      <c r="G67" s="29"/>
      <c r="H67" s="29"/>
      <c r="I67" s="29"/>
      <c r="J67" s="29"/>
      <c r="K67" s="29"/>
      <c r="L67" s="29"/>
      <c r="M67" s="29"/>
      <c r="N67" s="29"/>
      <c r="O67" s="29"/>
      <c r="P67" s="29"/>
      <c r="Q67" s="32"/>
      <c r="R67" s="29"/>
      <c r="S67" s="29"/>
      <c r="T67" s="33" t="str">
        <f aca="false">IF(AH67="Void – logged in error","",IF(OR(C67="",S67=""),IF(C67="","","Decide"),IF(OR(S67="Not reportable",S67="Over-3-day injury (record only)"),"No","Yes")))</f>
        <v/>
      </c>
      <c r="U67" s="34" t="str">
        <f aca="false">IF(OR(C67="",S67=""),"",IF(S67="Over-7-day injury",C67+15,IF(OR(S67="Death",S67="Specified injury",S67="Member of public to hospital",S67="Dangerous occurrence"),C67+10,"")))</f>
        <v/>
      </c>
      <c r="V67" s="28" t="str">
        <f aca="true">IF(C67="","",IF(AH67="Void – logged in error","Void",IF(W67&lt;&gt;"","Done – reported",IF(S67="Occupational disease","REPORT NOW – on diagnosis",IF(ISNUMBER(U67),IF(U67&lt;TODAY(),"OVERDUE – report now",IF(U67=TODAY(),"DUE TODAY",IF(U67-TODAY()&lt;='Start here'!$C$7,"DUE in "&amp;(U67-TODAY())&amp;" days",IF(OR(S67="Death",S67="Specified injury",S67="Member of public to hospital",S67="Dangerous occurrence"),"REPORT without delay","Report by date shown")))),IF(AND(N(Q67)&gt;7,OR(S67="",S67="Not reportable",S67="Over-3-day injury (record only)")),"CHECK – over 7 days off",IF(S67="","Decide RIDDOR",IF(S67="Over-3-day injury (record only)","Record only","Not reportable"))))))))</f>
        <v/>
      </c>
      <c r="W67" s="30"/>
      <c r="X67" s="29"/>
      <c r="Y67" s="32"/>
      <c r="Z67" s="29"/>
      <c r="AA67" s="35"/>
      <c r="AB67" s="29"/>
      <c r="AC67" s="29"/>
      <c r="AD67" s="29"/>
      <c r="AE67" s="29"/>
      <c r="AF67" s="29"/>
      <c r="AG67" s="30"/>
      <c r="AH67" s="29"/>
      <c r="AI67" s="36" t="str">
        <f aca="true">IF(OR(C67="",AH67="Closed",AH67="Void – logged in error",AG67=""),"",IF(AG67&lt;TODAY(),"OVERDUE",IF(AG67-TODAY()&lt;='Start here'!$C$8,"Due soon","On track")))</f>
        <v/>
      </c>
      <c r="AJ67" s="29"/>
      <c r="AK67" s="29"/>
      <c r="AL67" s="30"/>
      <c r="AM67" s="37" t="str">
        <f aca="false">IF(AND(C67&lt;&gt;"",AH67&lt;&gt;"Closed",AH67&lt;&gt;"Void – logged in error",OR(AH67&lt;&gt;"",AD67&lt;&gt;"",AE67&lt;&gt;"",AF67&lt;&gt;"",AG67&lt;&gt;"")),ROW(),"")</f>
        <v/>
      </c>
    </row>
    <row r="68" customFormat="false" ht="30" hidden="false" customHeight="true" outlineLevel="0" collapsed="false">
      <c r="A68" s="28" t="str">
        <f aca="false">IF(C68="","","INC-"&amp;YEAR(C68)&amp;"-"&amp;TEXT(COUNTIFS($C$6:C68,"&gt;="&amp;DATE(YEAR(C68),1,1),$C$6:C68,"&lt;="&amp;DATE(YEAR(C68),12,31)),"000"))</f>
        <v/>
      </c>
      <c r="B68" s="29"/>
      <c r="C68" s="30"/>
      <c r="D68" s="31"/>
      <c r="E68" s="30"/>
      <c r="F68" s="29"/>
      <c r="G68" s="29"/>
      <c r="H68" s="29"/>
      <c r="I68" s="29"/>
      <c r="J68" s="29"/>
      <c r="K68" s="29"/>
      <c r="L68" s="29"/>
      <c r="M68" s="29"/>
      <c r="N68" s="29"/>
      <c r="O68" s="29"/>
      <c r="P68" s="29"/>
      <c r="Q68" s="32"/>
      <c r="R68" s="29"/>
      <c r="S68" s="29"/>
      <c r="T68" s="33" t="str">
        <f aca="false">IF(AH68="Void – logged in error","",IF(OR(C68="",S68=""),IF(C68="","","Decide"),IF(OR(S68="Not reportable",S68="Over-3-day injury (record only)"),"No","Yes")))</f>
        <v/>
      </c>
      <c r="U68" s="34" t="str">
        <f aca="false">IF(OR(C68="",S68=""),"",IF(S68="Over-7-day injury",C68+15,IF(OR(S68="Death",S68="Specified injury",S68="Member of public to hospital",S68="Dangerous occurrence"),C68+10,"")))</f>
        <v/>
      </c>
      <c r="V68" s="28" t="str">
        <f aca="true">IF(C68="","",IF(AH68="Void – logged in error","Void",IF(W68&lt;&gt;"","Done – reported",IF(S68="Occupational disease","REPORT NOW – on diagnosis",IF(ISNUMBER(U68),IF(U68&lt;TODAY(),"OVERDUE – report now",IF(U68=TODAY(),"DUE TODAY",IF(U68-TODAY()&lt;='Start here'!$C$7,"DUE in "&amp;(U68-TODAY())&amp;" days",IF(OR(S68="Death",S68="Specified injury",S68="Member of public to hospital",S68="Dangerous occurrence"),"REPORT without delay","Report by date shown")))),IF(AND(N(Q68)&gt;7,OR(S68="",S68="Not reportable",S68="Over-3-day injury (record only)")),"CHECK – over 7 days off",IF(S68="","Decide RIDDOR",IF(S68="Over-3-day injury (record only)","Record only","Not reportable"))))))))</f>
        <v/>
      </c>
      <c r="W68" s="30"/>
      <c r="X68" s="29"/>
      <c r="Y68" s="32"/>
      <c r="Z68" s="29"/>
      <c r="AA68" s="35"/>
      <c r="AB68" s="29"/>
      <c r="AC68" s="29"/>
      <c r="AD68" s="29"/>
      <c r="AE68" s="29"/>
      <c r="AF68" s="29"/>
      <c r="AG68" s="30"/>
      <c r="AH68" s="29"/>
      <c r="AI68" s="36" t="str">
        <f aca="true">IF(OR(C68="",AH68="Closed",AH68="Void – logged in error",AG68=""),"",IF(AG68&lt;TODAY(),"OVERDUE",IF(AG68-TODAY()&lt;='Start here'!$C$8,"Due soon","On track")))</f>
        <v/>
      </c>
      <c r="AJ68" s="29"/>
      <c r="AK68" s="29"/>
      <c r="AL68" s="30"/>
      <c r="AM68" s="37" t="str">
        <f aca="false">IF(AND(C68&lt;&gt;"",AH68&lt;&gt;"Closed",AH68&lt;&gt;"Void – logged in error",OR(AH68&lt;&gt;"",AD68&lt;&gt;"",AE68&lt;&gt;"",AF68&lt;&gt;"",AG68&lt;&gt;"")),ROW(),"")</f>
        <v/>
      </c>
    </row>
    <row r="69" customFormat="false" ht="30" hidden="false" customHeight="true" outlineLevel="0" collapsed="false">
      <c r="A69" s="28" t="str">
        <f aca="false">IF(C69="","","INC-"&amp;YEAR(C69)&amp;"-"&amp;TEXT(COUNTIFS($C$6:C69,"&gt;="&amp;DATE(YEAR(C69),1,1),$C$6:C69,"&lt;="&amp;DATE(YEAR(C69),12,31)),"000"))</f>
        <v/>
      </c>
      <c r="B69" s="29"/>
      <c r="C69" s="30"/>
      <c r="D69" s="31"/>
      <c r="E69" s="30"/>
      <c r="F69" s="29"/>
      <c r="G69" s="29"/>
      <c r="H69" s="29"/>
      <c r="I69" s="29"/>
      <c r="J69" s="29"/>
      <c r="K69" s="29"/>
      <c r="L69" s="29"/>
      <c r="M69" s="29"/>
      <c r="N69" s="29"/>
      <c r="O69" s="29"/>
      <c r="P69" s="29"/>
      <c r="Q69" s="32"/>
      <c r="R69" s="29"/>
      <c r="S69" s="29"/>
      <c r="T69" s="33" t="str">
        <f aca="false">IF(AH69="Void – logged in error","",IF(OR(C69="",S69=""),IF(C69="","","Decide"),IF(OR(S69="Not reportable",S69="Over-3-day injury (record only)"),"No","Yes")))</f>
        <v/>
      </c>
      <c r="U69" s="34" t="str">
        <f aca="false">IF(OR(C69="",S69=""),"",IF(S69="Over-7-day injury",C69+15,IF(OR(S69="Death",S69="Specified injury",S69="Member of public to hospital",S69="Dangerous occurrence"),C69+10,"")))</f>
        <v/>
      </c>
      <c r="V69" s="28" t="str">
        <f aca="true">IF(C69="","",IF(AH69="Void – logged in error","Void",IF(W69&lt;&gt;"","Done – reported",IF(S69="Occupational disease","REPORT NOW – on diagnosis",IF(ISNUMBER(U69),IF(U69&lt;TODAY(),"OVERDUE – report now",IF(U69=TODAY(),"DUE TODAY",IF(U69-TODAY()&lt;='Start here'!$C$7,"DUE in "&amp;(U69-TODAY())&amp;" days",IF(OR(S69="Death",S69="Specified injury",S69="Member of public to hospital",S69="Dangerous occurrence"),"REPORT without delay","Report by date shown")))),IF(AND(N(Q69)&gt;7,OR(S69="",S69="Not reportable",S69="Over-3-day injury (record only)")),"CHECK – over 7 days off",IF(S69="","Decide RIDDOR",IF(S69="Over-3-day injury (record only)","Record only","Not reportable"))))))))</f>
        <v/>
      </c>
      <c r="W69" s="30"/>
      <c r="X69" s="29"/>
      <c r="Y69" s="32"/>
      <c r="Z69" s="29"/>
      <c r="AA69" s="35"/>
      <c r="AB69" s="29"/>
      <c r="AC69" s="29"/>
      <c r="AD69" s="29"/>
      <c r="AE69" s="29"/>
      <c r="AF69" s="29"/>
      <c r="AG69" s="30"/>
      <c r="AH69" s="29"/>
      <c r="AI69" s="36" t="str">
        <f aca="true">IF(OR(C69="",AH69="Closed",AH69="Void – logged in error",AG69=""),"",IF(AG69&lt;TODAY(),"OVERDUE",IF(AG69-TODAY()&lt;='Start here'!$C$8,"Due soon","On track")))</f>
        <v/>
      </c>
      <c r="AJ69" s="29"/>
      <c r="AK69" s="29"/>
      <c r="AL69" s="30"/>
      <c r="AM69" s="37" t="str">
        <f aca="false">IF(AND(C69&lt;&gt;"",AH69&lt;&gt;"Closed",AH69&lt;&gt;"Void – logged in error",OR(AH69&lt;&gt;"",AD69&lt;&gt;"",AE69&lt;&gt;"",AF69&lt;&gt;"",AG69&lt;&gt;"")),ROW(),"")</f>
        <v/>
      </c>
    </row>
    <row r="70" customFormat="false" ht="30" hidden="false" customHeight="true" outlineLevel="0" collapsed="false">
      <c r="A70" s="28" t="str">
        <f aca="false">IF(C70="","","INC-"&amp;YEAR(C70)&amp;"-"&amp;TEXT(COUNTIFS($C$6:C70,"&gt;="&amp;DATE(YEAR(C70),1,1),$C$6:C70,"&lt;="&amp;DATE(YEAR(C70),12,31)),"000"))</f>
        <v/>
      </c>
      <c r="B70" s="29"/>
      <c r="C70" s="30"/>
      <c r="D70" s="31"/>
      <c r="E70" s="30"/>
      <c r="F70" s="29"/>
      <c r="G70" s="29"/>
      <c r="H70" s="29"/>
      <c r="I70" s="29"/>
      <c r="J70" s="29"/>
      <c r="K70" s="29"/>
      <c r="L70" s="29"/>
      <c r="M70" s="29"/>
      <c r="N70" s="29"/>
      <c r="O70" s="29"/>
      <c r="P70" s="29"/>
      <c r="Q70" s="32"/>
      <c r="R70" s="29"/>
      <c r="S70" s="29"/>
      <c r="T70" s="33" t="str">
        <f aca="false">IF(AH70="Void – logged in error","",IF(OR(C70="",S70=""),IF(C70="","","Decide"),IF(OR(S70="Not reportable",S70="Over-3-day injury (record only)"),"No","Yes")))</f>
        <v/>
      </c>
      <c r="U70" s="34" t="str">
        <f aca="false">IF(OR(C70="",S70=""),"",IF(S70="Over-7-day injury",C70+15,IF(OR(S70="Death",S70="Specified injury",S70="Member of public to hospital",S70="Dangerous occurrence"),C70+10,"")))</f>
        <v/>
      </c>
      <c r="V70" s="28" t="str">
        <f aca="true">IF(C70="","",IF(AH70="Void – logged in error","Void",IF(W70&lt;&gt;"","Done – reported",IF(S70="Occupational disease","REPORT NOW – on diagnosis",IF(ISNUMBER(U70),IF(U70&lt;TODAY(),"OVERDUE – report now",IF(U70=TODAY(),"DUE TODAY",IF(U70-TODAY()&lt;='Start here'!$C$7,"DUE in "&amp;(U70-TODAY())&amp;" days",IF(OR(S70="Death",S70="Specified injury",S70="Member of public to hospital",S70="Dangerous occurrence"),"REPORT without delay","Report by date shown")))),IF(AND(N(Q70)&gt;7,OR(S70="",S70="Not reportable",S70="Over-3-day injury (record only)")),"CHECK – over 7 days off",IF(S70="","Decide RIDDOR",IF(S70="Over-3-day injury (record only)","Record only","Not reportable"))))))))</f>
        <v/>
      </c>
      <c r="W70" s="30"/>
      <c r="X70" s="29"/>
      <c r="Y70" s="32"/>
      <c r="Z70" s="29"/>
      <c r="AA70" s="35"/>
      <c r="AB70" s="29"/>
      <c r="AC70" s="29"/>
      <c r="AD70" s="29"/>
      <c r="AE70" s="29"/>
      <c r="AF70" s="29"/>
      <c r="AG70" s="30"/>
      <c r="AH70" s="29"/>
      <c r="AI70" s="36" t="str">
        <f aca="true">IF(OR(C70="",AH70="Closed",AH70="Void – logged in error",AG70=""),"",IF(AG70&lt;TODAY(),"OVERDUE",IF(AG70-TODAY()&lt;='Start here'!$C$8,"Due soon","On track")))</f>
        <v/>
      </c>
      <c r="AJ70" s="29"/>
      <c r="AK70" s="29"/>
      <c r="AL70" s="30"/>
      <c r="AM70" s="37" t="str">
        <f aca="false">IF(AND(C70&lt;&gt;"",AH70&lt;&gt;"Closed",AH70&lt;&gt;"Void – logged in error",OR(AH70&lt;&gt;"",AD70&lt;&gt;"",AE70&lt;&gt;"",AF70&lt;&gt;"",AG70&lt;&gt;"")),ROW(),"")</f>
        <v/>
      </c>
    </row>
    <row r="71" customFormat="false" ht="30" hidden="false" customHeight="true" outlineLevel="0" collapsed="false">
      <c r="A71" s="28" t="str">
        <f aca="false">IF(C71="","","INC-"&amp;YEAR(C71)&amp;"-"&amp;TEXT(COUNTIFS($C$6:C71,"&gt;="&amp;DATE(YEAR(C71),1,1),$C$6:C71,"&lt;="&amp;DATE(YEAR(C71),12,31)),"000"))</f>
        <v/>
      </c>
      <c r="B71" s="29"/>
      <c r="C71" s="30"/>
      <c r="D71" s="31"/>
      <c r="E71" s="30"/>
      <c r="F71" s="29"/>
      <c r="G71" s="29"/>
      <c r="H71" s="29"/>
      <c r="I71" s="29"/>
      <c r="J71" s="29"/>
      <c r="K71" s="29"/>
      <c r="L71" s="29"/>
      <c r="M71" s="29"/>
      <c r="N71" s="29"/>
      <c r="O71" s="29"/>
      <c r="P71" s="29"/>
      <c r="Q71" s="32"/>
      <c r="R71" s="29"/>
      <c r="S71" s="29"/>
      <c r="T71" s="33" t="str">
        <f aca="false">IF(AH71="Void – logged in error","",IF(OR(C71="",S71=""),IF(C71="","","Decide"),IF(OR(S71="Not reportable",S71="Over-3-day injury (record only)"),"No","Yes")))</f>
        <v/>
      </c>
      <c r="U71" s="34" t="str">
        <f aca="false">IF(OR(C71="",S71=""),"",IF(S71="Over-7-day injury",C71+15,IF(OR(S71="Death",S71="Specified injury",S71="Member of public to hospital",S71="Dangerous occurrence"),C71+10,"")))</f>
        <v/>
      </c>
      <c r="V71" s="28" t="str">
        <f aca="true">IF(C71="","",IF(AH71="Void – logged in error","Void",IF(W71&lt;&gt;"","Done – reported",IF(S71="Occupational disease","REPORT NOW – on diagnosis",IF(ISNUMBER(U71),IF(U71&lt;TODAY(),"OVERDUE – report now",IF(U71=TODAY(),"DUE TODAY",IF(U71-TODAY()&lt;='Start here'!$C$7,"DUE in "&amp;(U71-TODAY())&amp;" days",IF(OR(S71="Death",S71="Specified injury",S71="Member of public to hospital",S71="Dangerous occurrence"),"REPORT without delay","Report by date shown")))),IF(AND(N(Q71)&gt;7,OR(S71="",S71="Not reportable",S71="Over-3-day injury (record only)")),"CHECK – over 7 days off",IF(S71="","Decide RIDDOR",IF(S71="Over-3-day injury (record only)","Record only","Not reportable"))))))))</f>
        <v/>
      </c>
      <c r="W71" s="30"/>
      <c r="X71" s="29"/>
      <c r="Y71" s="32"/>
      <c r="Z71" s="29"/>
      <c r="AA71" s="35"/>
      <c r="AB71" s="29"/>
      <c r="AC71" s="29"/>
      <c r="AD71" s="29"/>
      <c r="AE71" s="29"/>
      <c r="AF71" s="29"/>
      <c r="AG71" s="30"/>
      <c r="AH71" s="29"/>
      <c r="AI71" s="36" t="str">
        <f aca="true">IF(OR(C71="",AH71="Closed",AH71="Void – logged in error",AG71=""),"",IF(AG71&lt;TODAY(),"OVERDUE",IF(AG71-TODAY()&lt;='Start here'!$C$8,"Due soon","On track")))</f>
        <v/>
      </c>
      <c r="AJ71" s="29"/>
      <c r="AK71" s="29"/>
      <c r="AL71" s="30"/>
      <c r="AM71" s="37" t="str">
        <f aca="false">IF(AND(C71&lt;&gt;"",AH71&lt;&gt;"Closed",AH71&lt;&gt;"Void – logged in error",OR(AH71&lt;&gt;"",AD71&lt;&gt;"",AE71&lt;&gt;"",AF71&lt;&gt;"",AG71&lt;&gt;"")),ROW(),"")</f>
        <v/>
      </c>
    </row>
    <row r="72" customFormat="false" ht="30" hidden="false" customHeight="true" outlineLevel="0" collapsed="false">
      <c r="A72" s="28" t="str">
        <f aca="false">IF(C72="","","INC-"&amp;YEAR(C72)&amp;"-"&amp;TEXT(COUNTIFS($C$6:C72,"&gt;="&amp;DATE(YEAR(C72),1,1),$C$6:C72,"&lt;="&amp;DATE(YEAR(C72),12,31)),"000"))</f>
        <v/>
      </c>
      <c r="B72" s="29"/>
      <c r="C72" s="30"/>
      <c r="D72" s="31"/>
      <c r="E72" s="30"/>
      <c r="F72" s="29"/>
      <c r="G72" s="29"/>
      <c r="H72" s="29"/>
      <c r="I72" s="29"/>
      <c r="J72" s="29"/>
      <c r="K72" s="29"/>
      <c r="L72" s="29"/>
      <c r="M72" s="29"/>
      <c r="N72" s="29"/>
      <c r="O72" s="29"/>
      <c r="P72" s="29"/>
      <c r="Q72" s="32"/>
      <c r="R72" s="29"/>
      <c r="S72" s="29"/>
      <c r="T72" s="33" t="str">
        <f aca="false">IF(AH72="Void – logged in error","",IF(OR(C72="",S72=""),IF(C72="","","Decide"),IF(OR(S72="Not reportable",S72="Over-3-day injury (record only)"),"No","Yes")))</f>
        <v/>
      </c>
      <c r="U72" s="34" t="str">
        <f aca="false">IF(OR(C72="",S72=""),"",IF(S72="Over-7-day injury",C72+15,IF(OR(S72="Death",S72="Specified injury",S72="Member of public to hospital",S72="Dangerous occurrence"),C72+10,"")))</f>
        <v/>
      </c>
      <c r="V72" s="28" t="str">
        <f aca="true">IF(C72="","",IF(AH72="Void – logged in error","Void",IF(W72&lt;&gt;"","Done – reported",IF(S72="Occupational disease","REPORT NOW – on diagnosis",IF(ISNUMBER(U72),IF(U72&lt;TODAY(),"OVERDUE – report now",IF(U72=TODAY(),"DUE TODAY",IF(U72-TODAY()&lt;='Start here'!$C$7,"DUE in "&amp;(U72-TODAY())&amp;" days",IF(OR(S72="Death",S72="Specified injury",S72="Member of public to hospital",S72="Dangerous occurrence"),"REPORT without delay","Report by date shown")))),IF(AND(N(Q72)&gt;7,OR(S72="",S72="Not reportable",S72="Over-3-day injury (record only)")),"CHECK – over 7 days off",IF(S72="","Decide RIDDOR",IF(S72="Over-3-day injury (record only)","Record only","Not reportable"))))))))</f>
        <v/>
      </c>
      <c r="W72" s="30"/>
      <c r="X72" s="29"/>
      <c r="Y72" s="32"/>
      <c r="Z72" s="29"/>
      <c r="AA72" s="35"/>
      <c r="AB72" s="29"/>
      <c r="AC72" s="29"/>
      <c r="AD72" s="29"/>
      <c r="AE72" s="29"/>
      <c r="AF72" s="29"/>
      <c r="AG72" s="30"/>
      <c r="AH72" s="29"/>
      <c r="AI72" s="36" t="str">
        <f aca="true">IF(OR(C72="",AH72="Closed",AH72="Void – logged in error",AG72=""),"",IF(AG72&lt;TODAY(),"OVERDUE",IF(AG72-TODAY()&lt;='Start here'!$C$8,"Due soon","On track")))</f>
        <v/>
      </c>
      <c r="AJ72" s="29"/>
      <c r="AK72" s="29"/>
      <c r="AL72" s="30"/>
      <c r="AM72" s="37" t="str">
        <f aca="false">IF(AND(C72&lt;&gt;"",AH72&lt;&gt;"Closed",AH72&lt;&gt;"Void – logged in error",OR(AH72&lt;&gt;"",AD72&lt;&gt;"",AE72&lt;&gt;"",AF72&lt;&gt;"",AG72&lt;&gt;"")),ROW(),"")</f>
        <v/>
      </c>
    </row>
    <row r="73" customFormat="false" ht="30" hidden="false" customHeight="true" outlineLevel="0" collapsed="false">
      <c r="A73" s="28" t="str">
        <f aca="false">IF(C73="","","INC-"&amp;YEAR(C73)&amp;"-"&amp;TEXT(COUNTIFS($C$6:C73,"&gt;="&amp;DATE(YEAR(C73),1,1),$C$6:C73,"&lt;="&amp;DATE(YEAR(C73),12,31)),"000"))</f>
        <v/>
      </c>
      <c r="B73" s="29"/>
      <c r="C73" s="30"/>
      <c r="D73" s="31"/>
      <c r="E73" s="30"/>
      <c r="F73" s="29"/>
      <c r="G73" s="29"/>
      <c r="H73" s="29"/>
      <c r="I73" s="29"/>
      <c r="J73" s="29"/>
      <c r="K73" s="29"/>
      <c r="L73" s="29"/>
      <c r="M73" s="29"/>
      <c r="N73" s="29"/>
      <c r="O73" s="29"/>
      <c r="P73" s="29"/>
      <c r="Q73" s="32"/>
      <c r="R73" s="29"/>
      <c r="S73" s="29"/>
      <c r="T73" s="33" t="str">
        <f aca="false">IF(AH73="Void – logged in error","",IF(OR(C73="",S73=""),IF(C73="","","Decide"),IF(OR(S73="Not reportable",S73="Over-3-day injury (record only)"),"No","Yes")))</f>
        <v/>
      </c>
      <c r="U73" s="34" t="str">
        <f aca="false">IF(OR(C73="",S73=""),"",IF(S73="Over-7-day injury",C73+15,IF(OR(S73="Death",S73="Specified injury",S73="Member of public to hospital",S73="Dangerous occurrence"),C73+10,"")))</f>
        <v/>
      </c>
      <c r="V73" s="28" t="str">
        <f aca="true">IF(C73="","",IF(AH73="Void – logged in error","Void",IF(W73&lt;&gt;"","Done – reported",IF(S73="Occupational disease","REPORT NOW – on diagnosis",IF(ISNUMBER(U73),IF(U73&lt;TODAY(),"OVERDUE – report now",IF(U73=TODAY(),"DUE TODAY",IF(U73-TODAY()&lt;='Start here'!$C$7,"DUE in "&amp;(U73-TODAY())&amp;" days",IF(OR(S73="Death",S73="Specified injury",S73="Member of public to hospital",S73="Dangerous occurrence"),"REPORT without delay","Report by date shown")))),IF(AND(N(Q73)&gt;7,OR(S73="",S73="Not reportable",S73="Over-3-day injury (record only)")),"CHECK – over 7 days off",IF(S73="","Decide RIDDOR",IF(S73="Over-3-day injury (record only)","Record only","Not reportable"))))))))</f>
        <v/>
      </c>
      <c r="W73" s="30"/>
      <c r="X73" s="29"/>
      <c r="Y73" s="32"/>
      <c r="Z73" s="29"/>
      <c r="AA73" s="35"/>
      <c r="AB73" s="29"/>
      <c r="AC73" s="29"/>
      <c r="AD73" s="29"/>
      <c r="AE73" s="29"/>
      <c r="AF73" s="29"/>
      <c r="AG73" s="30"/>
      <c r="AH73" s="29"/>
      <c r="AI73" s="36" t="str">
        <f aca="true">IF(OR(C73="",AH73="Closed",AH73="Void – logged in error",AG73=""),"",IF(AG73&lt;TODAY(),"OVERDUE",IF(AG73-TODAY()&lt;='Start here'!$C$8,"Due soon","On track")))</f>
        <v/>
      </c>
      <c r="AJ73" s="29"/>
      <c r="AK73" s="29"/>
      <c r="AL73" s="30"/>
      <c r="AM73" s="37" t="str">
        <f aca="false">IF(AND(C73&lt;&gt;"",AH73&lt;&gt;"Closed",AH73&lt;&gt;"Void – logged in error",OR(AH73&lt;&gt;"",AD73&lt;&gt;"",AE73&lt;&gt;"",AF73&lt;&gt;"",AG73&lt;&gt;"")),ROW(),"")</f>
        <v/>
      </c>
    </row>
    <row r="74" customFormat="false" ht="30" hidden="false" customHeight="true" outlineLevel="0" collapsed="false">
      <c r="A74" s="28" t="str">
        <f aca="false">IF(C74="","","INC-"&amp;YEAR(C74)&amp;"-"&amp;TEXT(COUNTIFS($C$6:C74,"&gt;="&amp;DATE(YEAR(C74),1,1),$C$6:C74,"&lt;="&amp;DATE(YEAR(C74),12,31)),"000"))</f>
        <v/>
      </c>
      <c r="B74" s="29"/>
      <c r="C74" s="30"/>
      <c r="D74" s="31"/>
      <c r="E74" s="30"/>
      <c r="F74" s="29"/>
      <c r="G74" s="29"/>
      <c r="H74" s="29"/>
      <c r="I74" s="29"/>
      <c r="J74" s="29"/>
      <c r="K74" s="29"/>
      <c r="L74" s="29"/>
      <c r="M74" s="29"/>
      <c r="N74" s="29"/>
      <c r="O74" s="29"/>
      <c r="P74" s="29"/>
      <c r="Q74" s="32"/>
      <c r="R74" s="29"/>
      <c r="S74" s="29"/>
      <c r="T74" s="33" t="str">
        <f aca="false">IF(AH74="Void – logged in error","",IF(OR(C74="",S74=""),IF(C74="","","Decide"),IF(OR(S74="Not reportable",S74="Over-3-day injury (record only)"),"No","Yes")))</f>
        <v/>
      </c>
      <c r="U74" s="34" t="str">
        <f aca="false">IF(OR(C74="",S74=""),"",IF(S74="Over-7-day injury",C74+15,IF(OR(S74="Death",S74="Specified injury",S74="Member of public to hospital",S74="Dangerous occurrence"),C74+10,"")))</f>
        <v/>
      </c>
      <c r="V74" s="28" t="str">
        <f aca="true">IF(C74="","",IF(AH74="Void – logged in error","Void",IF(W74&lt;&gt;"","Done – reported",IF(S74="Occupational disease","REPORT NOW – on diagnosis",IF(ISNUMBER(U74),IF(U74&lt;TODAY(),"OVERDUE – report now",IF(U74=TODAY(),"DUE TODAY",IF(U74-TODAY()&lt;='Start here'!$C$7,"DUE in "&amp;(U74-TODAY())&amp;" days",IF(OR(S74="Death",S74="Specified injury",S74="Member of public to hospital",S74="Dangerous occurrence"),"REPORT without delay","Report by date shown")))),IF(AND(N(Q74)&gt;7,OR(S74="",S74="Not reportable",S74="Over-3-day injury (record only)")),"CHECK – over 7 days off",IF(S74="","Decide RIDDOR",IF(S74="Over-3-day injury (record only)","Record only","Not reportable"))))))))</f>
        <v/>
      </c>
      <c r="W74" s="30"/>
      <c r="X74" s="29"/>
      <c r="Y74" s="32"/>
      <c r="Z74" s="29"/>
      <c r="AA74" s="35"/>
      <c r="AB74" s="29"/>
      <c r="AC74" s="29"/>
      <c r="AD74" s="29"/>
      <c r="AE74" s="29"/>
      <c r="AF74" s="29"/>
      <c r="AG74" s="30"/>
      <c r="AH74" s="29"/>
      <c r="AI74" s="36" t="str">
        <f aca="true">IF(OR(C74="",AH74="Closed",AH74="Void – logged in error",AG74=""),"",IF(AG74&lt;TODAY(),"OVERDUE",IF(AG74-TODAY()&lt;='Start here'!$C$8,"Due soon","On track")))</f>
        <v/>
      </c>
      <c r="AJ74" s="29"/>
      <c r="AK74" s="29"/>
      <c r="AL74" s="30"/>
      <c r="AM74" s="37" t="str">
        <f aca="false">IF(AND(C74&lt;&gt;"",AH74&lt;&gt;"Closed",AH74&lt;&gt;"Void – logged in error",OR(AH74&lt;&gt;"",AD74&lt;&gt;"",AE74&lt;&gt;"",AF74&lt;&gt;"",AG74&lt;&gt;"")),ROW(),"")</f>
        <v/>
      </c>
    </row>
    <row r="75" customFormat="false" ht="30" hidden="false" customHeight="true" outlineLevel="0" collapsed="false">
      <c r="A75" s="28" t="str">
        <f aca="false">IF(C75="","","INC-"&amp;YEAR(C75)&amp;"-"&amp;TEXT(COUNTIFS($C$6:C75,"&gt;="&amp;DATE(YEAR(C75),1,1),$C$6:C75,"&lt;="&amp;DATE(YEAR(C75),12,31)),"000"))</f>
        <v/>
      </c>
      <c r="B75" s="29"/>
      <c r="C75" s="30"/>
      <c r="D75" s="31"/>
      <c r="E75" s="30"/>
      <c r="F75" s="29"/>
      <c r="G75" s="29"/>
      <c r="H75" s="29"/>
      <c r="I75" s="29"/>
      <c r="J75" s="29"/>
      <c r="K75" s="29"/>
      <c r="L75" s="29"/>
      <c r="M75" s="29"/>
      <c r="N75" s="29"/>
      <c r="O75" s="29"/>
      <c r="P75" s="29"/>
      <c r="Q75" s="32"/>
      <c r="R75" s="29"/>
      <c r="S75" s="29"/>
      <c r="T75" s="33" t="str">
        <f aca="false">IF(AH75="Void – logged in error","",IF(OR(C75="",S75=""),IF(C75="","","Decide"),IF(OR(S75="Not reportable",S75="Over-3-day injury (record only)"),"No","Yes")))</f>
        <v/>
      </c>
      <c r="U75" s="34" t="str">
        <f aca="false">IF(OR(C75="",S75=""),"",IF(S75="Over-7-day injury",C75+15,IF(OR(S75="Death",S75="Specified injury",S75="Member of public to hospital",S75="Dangerous occurrence"),C75+10,"")))</f>
        <v/>
      </c>
      <c r="V75" s="28" t="str">
        <f aca="true">IF(C75="","",IF(AH75="Void – logged in error","Void",IF(W75&lt;&gt;"","Done – reported",IF(S75="Occupational disease","REPORT NOW – on diagnosis",IF(ISNUMBER(U75),IF(U75&lt;TODAY(),"OVERDUE – report now",IF(U75=TODAY(),"DUE TODAY",IF(U75-TODAY()&lt;='Start here'!$C$7,"DUE in "&amp;(U75-TODAY())&amp;" days",IF(OR(S75="Death",S75="Specified injury",S75="Member of public to hospital",S75="Dangerous occurrence"),"REPORT without delay","Report by date shown")))),IF(AND(N(Q75)&gt;7,OR(S75="",S75="Not reportable",S75="Over-3-day injury (record only)")),"CHECK – over 7 days off",IF(S75="","Decide RIDDOR",IF(S75="Over-3-day injury (record only)","Record only","Not reportable"))))))))</f>
        <v/>
      </c>
      <c r="W75" s="30"/>
      <c r="X75" s="29"/>
      <c r="Y75" s="32"/>
      <c r="Z75" s="29"/>
      <c r="AA75" s="35"/>
      <c r="AB75" s="29"/>
      <c r="AC75" s="29"/>
      <c r="AD75" s="29"/>
      <c r="AE75" s="29"/>
      <c r="AF75" s="29"/>
      <c r="AG75" s="30"/>
      <c r="AH75" s="29"/>
      <c r="AI75" s="36" t="str">
        <f aca="true">IF(OR(C75="",AH75="Closed",AH75="Void – logged in error",AG75=""),"",IF(AG75&lt;TODAY(),"OVERDUE",IF(AG75-TODAY()&lt;='Start here'!$C$8,"Due soon","On track")))</f>
        <v/>
      </c>
      <c r="AJ75" s="29"/>
      <c r="AK75" s="29"/>
      <c r="AL75" s="30"/>
      <c r="AM75" s="37" t="str">
        <f aca="false">IF(AND(C75&lt;&gt;"",AH75&lt;&gt;"Closed",AH75&lt;&gt;"Void – logged in error",OR(AH75&lt;&gt;"",AD75&lt;&gt;"",AE75&lt;&gt;"",AF75&lt;&gt;"",AG75&lt;&gt;"")),ROW(),"")</f>
        <v/>
      </c>
    </row>
    <row r="76" customFormat="false" ht="30" hidden="false" customHeight="true" outlineLevel="0" collapsed="false">
      <c r="A76" s="28" t="str">
        <f aca="false">IF(C76="","","INC-"&amp;YEAR(C76)&amp;"-"&amp;TEXT(COUNTIFS($C$6:C76,"&gt;="&amp;DATE(YEAR(C76),1,1),$C$6:C76,"&lt;="&amp;DATE(YEAR(C76),12,31)),"000"))</f>
        <v/>
      </c>
      <c r="B76" s="29"/>
      <c r="C76" s="30"/>
      <c r="D76" s="31"/>
      <c r="E76" s="30"/>
      <c r="F76" s="29"/>
      <c r="G76" s="29"/>
      <c r="H76" s="29"/>
      <c r="I76" s="29"/>
      <c r="J76" s="29"/>
      <c r="K76" s="29"/>
      <c r="L76" s="29"/>
      <c r="M76" s="29"/>
      <c r="N76" s="29"/>
      <c r="O76" s="29"/>
      <c r="P76" s="29"/>
      <c r="Q76" s="32"/>
      <c r="R76" s="29"/>
      <c r="S76" s="29"/>
      <c r="T76" s="33" t="str">
        <f aca="false">IF(AH76="Void – logged in error","",IF(OR(C76="",S76=""),IF(C76="","","Decide"),IF(OR(S76="Not reportable",S76="Over-3-day injury (record only)"),"No","Yes")))</f>
        <v/>
      </c>
      <c r="U76" s="34" t="str">
        <f aca="false">IF(OR(C76="",S76=""),"",IF(S76="Over-7-day injury",C76+15,IF(OR(S76="Death",S76="Specified injury",S76="Member of public to hospital",S76="Dangerous occurrence"),C76+10,"")))</f>
        <v/>
      </c>
      <c r="V76" s="28" t="str">
        <f aca="true">IF(C76="","",IF(AH76="Void – logged in error","Void",IF(W76&lt;&gt;"","Done – reported",IF(S76="Occupational disease","REPORT NOW – on diagnosis",IF(ISNUMBER(U76),IF(U76&lt;TODAY(),"OVERDUE – report now",IF(U76=TODAY(),"DUE TODAY",IF(U76-TODAY()&lt;='Start here'!$C$7,"DUE in "&amp;(U76-TODAY())&amp;" days",IF(OR(S76="Death",S76="Specified injury",S76="Member of public to hospital",S76="Dangerous occurrence"),"REPORT without delay","Report by date shown")))),IF(AND(N(Q76)&gt;7,OR(S76="",S76="Not reportable",S76="Over-3-day injury (record only)")),"CHECK – over 7 days off",IF(S76="","Decide RIDDOR",IF(S76="Over-3-day injury (record only)","Record only","Not reportable"))))))))</f>
        <v/>
      </c>
      <c r="W76" s="30"/>
      <c r="X76" s="29"/>
      <c r="Y76" s="32"/>
      <c r="Z76" s="29"/>
      <c r="AA76" s="35"/>
      <c r="AB76" s="29"/>
      <c r="AC76" s="29"/>
      <c r="AD76" s="29"/>
      <c r="AE76" s="29"/>
      <c r="AF76" s="29"/>
      <c r="AG76" s="30"/>
      <c r="AH76" s="29"/>
      <c r="AI76" s="36" t="str">
        <f aca="true">IF(OR(C76="",AH76="Closed",AH76="Void – logged in error",AG76=""),"",IF(AG76&lt;TODAY(),"OVERDUE",IF(AG76-TODAY()&lt;='Start here'!$C$8,"Due soon","On track")))</f>
        <v/>
      </c>
      <c r="AJ76" s="29"/>
      <c r="AK76" s="29"/>
      <c r="AL76" s="30"/>
      <c r="AM76" s="37" t="str">
        <f aca="false">IF(AND(C76&lt;&gt;"",AH76&lt;&gt;"Closed",AH76&lt;&gt;"Void – logged in error",OR(AH76&lt;&gt;"",AD76&lt;&gt;"",AE76&lt;&gt;"",AF76&lt;&gt;"",AG76&lt;&gt;"")),ROW(),"")</f>
        <v/>
      </c>
    </row>
    <row r="77" customFormat="false" ht="30" hidden="false" customHeight="true" outlineLevel="0" collapsed="false">
      <c r="A77" s="28" t="str">
        <f aca="false">IF(C77="","","INC-"&amp;YEAR(C77)&amp;"-"&amp;TEXT(COUNTIFS($C$6:C77,"&gt;="&amp;DATE(YEAR(C77),1,1),$C$6:C77,"&lt;="&amp;DATE(YEAR(C77),12,31)),"000"))</f>
        <v/>
      </c>
      <c r="B77" s="29"/>
      <c r="C77" s="30"/>
      <c r="D77" s="31"/>
      <c r="E77" s="30"/>
      <c r="F77" s="29"/>
      <c r="G77" s="29"/>
      <c r="H77" s="29"/>
      <c r="I77" s="29"/>
      <c r="J77" s="29"/>
      <c r="K77" s="29"/>
      <c r="L77" s="29"/>
      <c r="M77" s="29"/>
      <c r="N77" s="29"/>
      <c r="O77" s="29"/>
      <c r="P77" s="29"/>
      <c r="Q77" s="32"/>
      <c r="R77" s="29"/>
      <c r="S77" s="29"/>
      <c r="T77" s="33" t="str">
        <f aca="false">IF(AH77="Void – logged in error","",IF(OR(C77="",S77=""),IF(C77="","","Decide"),IF(OR(S77="Not reportable",S77="Over-3-day injury (record only)"),"No","Yes")))</f>
        <v/>
      </c>
      <c r="U77" s="34" t="str">
        <f aca="false">IF(OR(C77="",S77=""),"",IF(S77="Over-7-day injury",C77+15,IF(OR(S77="Death",S77="Specified injury",S77="Member of public to hospital",S77="Dangerous occurrence"),C77+10,"")))</f>
        <v/>
      </c>
      <c r="V77" s="28" t="str">
        <f aca="true">IF(C77="","",IF(AH77="Void – logged in error","Void",IF(W77&lt;&gt;"","Done – reported",IF(S77="Occupational disease","REPORT NOW – on diagnosis",IF(ISNUMBER(U77),IF(U77&lt;TODAY(),"OVERDUE – report now",IF(U77=TODAY(),"DUE TODAY",IF(U77-TODAY()&lt;='Start here'!$C$7,"DUE in "&amp;(U77-TODAY())&amp;" days",IF(OR(S77="Death",S77="Specified injury",S77="Member of public to hospital",S77="Dangerous occurrence"),"REPORT without delay","Report by date shown")))),IF(AND(N(Q77)&gt;7,OR(S77="",S77="Not reportable",S77="Over-3-day injury (record only)")),"CHECK – over 7 days off",IF(S77="","Decide RIDDOR",IF(S77="Over-3-day injury (record only)","Record only","Not reportable"))))))))</f>
        <v/>
      </c>
      <c r="W77" s="30"/>
      <c r="X77" s="29"/>
      <c r="Y77" s="32"/>
      <c r="Z77" s="29"/>
      <c r="AA77" s="35"/>
      <c r="AB77" s="29"/>
      <c r="AC77" s="29"/>
      <c r="AD77" s="29"/>
      <c r="AE77" s="29"/>
      <c r="AF77" s="29"/>
      <c r="AG77" s="30"/>
      <c r="AH77" s="29"/>
      <c r="AI77" s="36" t="str">
        <f aca="true">IF(OR(C77="",AH77="Closed",AH77="Void – logged in error",AG77=""),"",IF(AG77&lt;TODAY(),"OVERDUE",IF(AG77-TODAY()&lt;='Start here'!$C$8,"Due soon","On track")))</f>
        <v/>
      </c>
      <c r="AJ77" s="29"/>
      <c r="AK77" s="29"/>
      <c r="AL77" s="30"/>
      <c r="AM77" s="37" t="str">
        <f aca="false">IF(AND(C77&lt;&gt;"",AH77&lt;&gt;"Closed",AH77&lt;&gt;"Void – logged in error",OR(AH77&lt;&gt;"",AD77&lt;&gt;"",AE77&lt;&gt;"",AF77&lt;&gt;"",AG77&lt;&gt;"")),ROW(),"")</f>
        <v/>
      </c>
    </row>
    <row r="78" customFormat="false" ht="30" hidden="false" customHeight="true" outlineLevel="0" collapsed="false">
      <c r="A78" s="28" t="str">
        <f aca="false">IF(C78="","","INC-"&amp;YEAR(C78)&amp;"-"&amp;TEXT(COUNTIFS($C$6:C78,"&gt;="&amp;DATE(YEAR(C78),1,1),$C$6:C78,"&lt;="&amp;DATE(YEAR(C78),12,31)),"000"))</f>
        <v/>
      </c>
      <c r="B78" s="29"/>
      <c r="C78" s="30"/>
      <c r="D78" s="31"/>
      <c r="E78" s="30"/>
      <c r="F78" s="29"/>
      <c r="G78" s="29"/>
      <c r="H78" s="29"/>
      <c r="I78" s="29"/>
      <c r="J78" s="29"/>
      <c r="K78" s="29"/>
      <c r="L78" s="29"/>
      <c r="M78" s="29"/>
      <c r="N78" s="29"/>
      <c r="O78" s="29"/>
      <c r="P78" s="29"/>
      <c r="Q78" s="32"/>
      <c r="R78" s="29"/>
      <c r="S78" s="29"/>
      <c r="T78" s="33" t="str">
        <f aca="false">IF(AH78="Void – logged in error","",IF(OR(C78="",S78=""),IF(C78="","","Decide"),IF(OR(S78="Not reportable",S78="Over-3-day injury (record only)"),"No","Yes")))</f>
        <v/>
      </c>
      <c r="U78" s="34" t="str">
        <f aca="false">IF(OR(C78="",S78=""),"",IF(S78="Over-7-day injury",C78+15,IF(OR(S78="Death",S78="Specified injury",S78="Member of public to hospital",S78="Dangerous occurrence"),C78+10,"")))</f>
        <v/>
      </c>
      <c r="V78" s="28" t="str">
        <f aca="true">IF(C78="","",IF(AH78="Void – logged in error","Void",IF(W78&lt;&gt;"","Done – reported",IF(S78="Occupational disease","REPORT NOW – on diagnosis",IF(ISNUMBER(U78),IF(U78&lt;TODAY(),"OVERDUE – report now",IF(U78=TODAY(),"DUE TODAY",IF(U78-TODAY()&lt;='Start here'!$C$7,"DUE in "&amp;(U78-TODAY())&amp;" days",IF(OR(S78="Death",S78="Specified injury",S78="Member of public to hospital",S78="Dangerous occurrence"),"REPORT without delay","Report by date shown")))),IF(AND(N(Q78)&gt;7,OR(S78="",S78="Not reportable",S78="Over-3-day injury (record only)")),"CHECK – over 7 days off",IF(S78="","Decide RIDDOR",IF(S78="Over-3-day injury (record only)","Record only","Not reportable"))))))))</f>
        <v/>
      </c>
      <c r="W78" s="30"/>
      <c r="X78" s="29"/>
      <c r="Y78" s="32"/>
      <c r="Z78" s="29"/>
      <c r="AA78" s="35"/>
      <c r="AB78" s="29"/>
      <c r="AC78" s="29"/>
      <c r="AD78" s="29"/>
      <c r="AE78" s="29"/>
      <c r="AF78" s="29"/>
      <c r="AG78" s="30"/>
      <c r="AH78" s="29"/>
      <c r="AI78" s="36" t="str">
        <f aca="true">IF(OR(C78="",AH78="Closed",AH78="Void – logged in error",AG78=""),"",IF(AG78&lt;TODAY(),"OVERDUE",IF(AG78-TODAY()&lt;='Start here'!$C$8,"Due soon","On track")))</f>
        <v/>
      </c>
      <c r="AJ78" s="29"/>
      <c r="AK78" s="29"/>
      <c r="AL78" s="30"/>
      <c r="AM78" s="37" t="str">
        <f aca="false">IF(AND(C78&lt;&gt;"",AH78&lt;&gt;"Closed",AH78&lt;&gt;"Void – logged in error",OR(AH78&lt;&gt;"",AD78&lt;&gt;"",AE78&lt;&gt;"",AF78&lt;&gt;"",AG78&lt;&gt;"")),ROW(),"")</f>
        <v/>
      </c>
    </row>
    <row r="79" customFormat="false" ht="30" hidden="false" customHeight="true" outlineLevel="0" collapsed="false">
      <c r="A79" s="28" t="str">
        <f aca="false">IF(C79="","","INC-"&amp;YEAR(C79)&amp;"-"&amp;TEXT(COUNTIFS($C$6:C79,"&gt;="&amp;DATE(YEAR(C79),1,1),$C$6:C79,"&lt;="&amp;DATE(YEAR(C79),12,31)),"000"))</f>
        <v/>
      </c>
      <c r="B79" s="29"/>
      <c r="C79" s="30"/>
      <c r="D79" s="31"/>
      <c r="E79" s="30"/>
      <c r="F79" s="29"/>
      <c r="G79" s="29"/>
      <c r="H79" s="29"/>
      <c r="I79" s="29"/>
      <c r="J79" s="29"/>
      <c r="K79" s="29"/>
      <c r="L79" s="29"/>
      <c r="M79" s="29"/>
      <c r="N79" s="29"/>
      <c r="O79" s="29"/>
      <c r="P79" s="29"/>
      <c r="Q79" s="32"/>
      <c r="R79" s="29"/>
      <c r="S79" s="29"/>
      <c r="T79" s="33" t="str">
        <f aca="false">IF(AH79="Void – logged in error","",IF(OR(C79="",S79=""),IF(C79="","","Decide"),IF(OR(S79="Not reportable",S79="Over-3-day injury (record only)"),"No","Yes")))</f>
        <v/>
      </c>
      <c r="U79" s="34" t="str">
        <f aca="false">IF(OR(C79="",S79=""),"",IF(S79="Over-7-day injury",C79+15,IF(OR(S79="Death",S79="Specified injury",S79="Member of public to hospital",S79="Dangerous occurrence"),C79+10,"")))</f>
        <v/>
      </c>
      <c r="V79" s="28" t="str">
        <f aca="true">IF(C79="","",IF(AH79="Void – logged in error","Void",IF(W79&lt;&gt;"","Done – reported",IF(S79="Occupational disease","REPORT NOW – on diagnosis",IF(ISNUMBER(U79),IF(U79&lt;TODAY(),"OVERDUE – report now",IF(U79=TODAY(),"DUE TODAY",IF(U79-TODAY()&lt;='Start here'!$C$7,"DUE in "&amp;(U79-TODAY())&amp;" days",IF(OR(S79="Death",S79="Specified injury",S79="Member of public to hospital",S79="Dangerous occurrence"),"REPORT without delay","Report by date shown")))),IF(AND(N(Q79)&gt;7,OR(S79="",S79="Not reportable",S79="Over-3-day injury (record only)")),"CHECK – over 7 days off",IF(S79="","Decide RIDDOR",IF(S79="Over-3-day injury (record only)","Record only","Not reportable"))))))))</f>
        <v/>
      </c>
      <c r="W79" s="30"/>
      <c r="X79" s="29"/>
      <c r="Y79" s="32"/>
      <c r="Z79" s="29"/>
      <c r="AA79" s="35"/>
      <c r="AB79" s="29"/>
      <c r="AC79" s="29"/>
      <c r="AD79" s="29"/>
      <c r="AE79" s="29"/>
      <c r="AF79" s="29"/>
      <c r="AG79" s="30"/>
      <c r="AH79" s="29"/>
      <c r="AI79" s="36" t="str">
        <f aca="true">IF(OR(C79="",AH79="Closed",AH79="Void – logged in error",AG79=""),"",IF(AG79&lt;TODAY(),"OVERDUE",IF(AG79-TODAY()&lt;='Start here'!$C$8,"Due soon","On track")))</f>
        <v/>
      </c>
      <c r="AJ79" s="29"/>
      <c r="AK79" s="29"/>
      <c r="AL79" s="30"/>
      <c r="AM79" s="37" t="str">
        <f aca="false">IF(AND(C79&lt;&gt;"",AH79&lt;&gt;"Closed",AH79&lt;&gt;"Void – logged in error",OR(AH79&lt;&gt;"",AD79&lt;&gt;"",AE79&lt;&gt;"",AF79&lt;&gt;"",AG79&lt;&gt;"")),ROW(),"")</f>
        <v/>
      </c>
    </row>
    <row r="80" customFormat="false" ht="30" hidden="false" customHeight="true" outlineLevel="0" collapsed="false">
      <c r="A80" s="28" t="str">
        <f aca="false">IF(C80="","","INC-"&amp;YEAR(C80)&amp;"-"&amp;TEXT(COUNTIFS($C$6:C80,"&gt;="&amp;DATE(YEAR(C80),1,1),$C$6:C80,"&lt;="&amp;DATE(YEAR(C80),12,31)),"000"))</f>
        <v/>
      </c>
      <c r="B80" s="29"/>
      <c r="C80" s="30"/>
      <c r="D80" s="31"/>
      <c r="E80" s="30"/>
      <c r="F80" s="29"/>
      <c r="G80" s="29"/>
      <c r="H80" s="29"/>
      <c r="I80" s="29"/>
      <c r="J80" s="29"/>
      <c r="K80" s="29"/>
      <c r="L80" s="29"/>
      <c r="M80" s="29"/>
      <c r="N80" s="29"/>
      <c r="O80" s="29"/>
      <c r="P80" s="29"/>
      <c r="Q80" s="32"/>
      <c r="R80" s="29"/>
      <c r="S80" s="29"/>
      <c r="T80" s="33" t="str">
        <f aca="false">IF(AH80="Void – logged in error","",IF(OR(C80="",S80=""),IF(C80="","","Decide"),IF(OR(S80="Not reportable",S80="Over-3-day injury (record only)"),"No","Yes")))</f>
        <v/>
      </c>
      <c r="U80" s="34" t="str">
        <f aca="false">IF(OR(C80="",S80=""),"",IF(S80="Over-7-day injury",C80+15,IF(OR(S80="Death",S80="Specified injury",S80="Member of public to hospital",S80="Dangerous occurrence"),C80+10,"")))</f>
        <v/>
      </c>
      <c r="V80" s="28" t="str">
        <f aca="true">IF(C80="","",IF(AH80="Void – logged in error","Void",IF(W80&lt;&gt;"","Done – reported",IF(S80="Occupational disease","REPORT NOW – on diagnosis",IF(ISNUMBER(U80),IF(U80&lt;TODAY(),"OVERDUE – report now",IF(U80=TODAY(),"DUE TODAY",IF(U80-TODAY()&lt;='Start here'!$C$7,"DUE in "&amp;(U80-TODAY())&amp;" days",IF(OR(S80="Death",S80="Specified injury",S80="Member of public to hospital",S80="Dangerous occurrence"),"REPORT without delay","Report by date shown")))),IF(AND(N(Q80)&gt;7,OR(S80="",S80="Not reportable",S80="Over-3-day injury (record only)")),"CHECK – over 7 days off",IF(S80="","Decide RIDDOR",IF(S80="Over-3-day injury (record only)","Record only","Not reportable"))))))))</f>
        <v/>
      </c>
      <c r="W80" s="30"/>
      <c r="X80" s="29"/>
      <c r="Y80" s="32"/>
      <c r="Z80" s="29"/>
      <c r="AA80" s="35"/>
      <c r="AB80" s="29"/>
      <c r="AC80" s="29"/>
      <c r="AD80" s="29"/>
      <c r="AE80" s="29"/>
      <c r="AF80" s="29"/>
      <c r="AG80" s="30"/>
      <c r="AH80" s="29"/>
      <c r="AI80" s="36" t="str">
        <f aca="true">IF(OR(C80="",AH80="Closed",AH80="Void – logged in error",AG80=""),"",IF(AG80&lt;TODAY(),"OVERDUE",IF(AG80-TODAY()&lt;='Start here'!$C$8,"Due soon","On track")))</f>
        <v/>
      </c>
      <c r="AJ80" s="29"/>
      <c r="AK80" s="29"/>
      <c r="AL80" s="30"/>
      <c r="AM80" s="37" t="str">
        <f aca="false">IF(AND(C80&lt;&gt;"",AH80&lt;&gt;"Closed",AH80&lt;&gt;"Void – logged in error",OR(AH80&lt;&gt;"",AD80&lt;&gt;"",AE80&lt;&gt;"",AF80&lt;&gt;"",AG80&lt;&gt;"")),ROW(),"")</f>
        <v/>
      </c>
    </row>
    <row r="81" customFormat="false" ht="30" hidden="false" customHeight="true" outlineLevel="0" collapsed="false">
      <c r="A81" s="28" t="str">
        <f aca="false">IF(C81="","","INC-"&amp;YEAR(C81)&amp;"-"&amp;TEXT(COUNTIFS($C$6:C81,"&gt;="&amp;DATE(YEAR(C81),1,1),$C$6:C81,"&lt;="&amp;DATE(YEAR(C81),12,31)),"000"))</f>
        <v/>
      </c>
      <c r="B81" s="29"/>
      <c r="C81" s="30"/>
      <c r="D81" s="31"/>
      <c r="E81" s="30"/>
      <c r="F81" s="29"/>
      <c r="G81" s="29"/>
      <c r="H81" s="29"/>
      <c r="I81" s="29"/>
      <c r="J81" s="29"/>
      <c r="K81" s="29"/>
      <c r="L81" s="29"/>
      <c r="M81" s="29"/>
      <c r="N81" s="29"/>
      <c r="O81" s="29"/>
      <c r="P81" s="29"/>
      <c r="Q81" s="32"/>
      <c r="R81" s="29"/>
      <c r="S81" s="29"/>
      <c r="T81" s="33" t="str">
        <f aca="false">IF(AH81="Void – logged in error","",IF(OR(C81="",S81=""),IF(C81="","","Decide"),IF(OR(S81="Not reportable",S81="Over-3-day injury (record only)"),"No","Yes")))</f>
        <v/>
      </c>
      <c r="U81" s="34" t="str">
        <f aca="false">IF(OR(C81="",S81=""),"",IF(S81="Over-7-day injury",C81+15,IF(OR(S81="Death",S81="Specified injury",S81="Member of public to hospital",S81="Dangerous occurrence"),C81+10,"")))</f>
        <v/>
      </c>
      <c r="V81" s="28" t="str">
        <f aca="true">IF(C81="","",IF(AH81="Void – logged in error","Void",IF(W81&lt;&gt;"","Done – reported",IF(S81="Occupational disease","REPORT NOW – on diagnosis",IF(ISNUMBER(U81),IF(U81&lt;TODAY(),"OVERDUE – report now",IF(U81=TODAY(),"DUE TODAY",IF(U81-TODAY()&lt;='Start here'!$C$7,"DUE in "&amp;(U81-TODAY())&amp;" days",IF(OR(S81="Death",S81="Specified injury",S81="Member of public to hospital",S81="Dangerous occurrence"),"REPORT without delay","Report by date shown")))),IF(AND(N(Q81)&gt;7,OR(S81="",S81="Not reportable",S81="Over-3-day injury (record only)")),"CHECK – over 7 days off",IF(S81="","Decide RIDDOR",IF(S81="Over-3-day injury (record only)","Record only","Not reportable"))))))))</f>
        <v/>
      </c>
      <c r="W81" s="30"/>
      <c r="X81" s="29"/>
      <c r="Y81" s="32"/>
      <c r="Z81" s="29"/>
      <c r="AA81" s="35"/>
      <c r="AB81" s="29"/>
      <c r="AC81" s="29"/>
      <c r="AD81" s="29"/>
      <c r="AE81" s="29"/>
      <c r="AF81" s="29"/>
      <c r="AG81" s="30"/>
      <c r="AH81" s="29"/>
      <c r="AI81" s="36" t="str">
        <f aca="true">IF(OR(C81="",AH81="Closed",AH81="Void – logged in error",AG81=""),"",IF(AG81&lt;TODAY(),"OVERDUE",IF(AG81-TODAY()&lt;='Start here'!$C$8,"Due soon","On track")))</f>
        <v/>
      </c>
      <c r="AJ81" s="29"/>
      <c r="AK81" s="29"/>
      <c r="AL81" s="30"/>
      <c r="AM81" s="37" t="str">
        <f aca="false">IF(AND(C81&lt;&gt;"",AH81&lt;&gt;"Closed",AH81&lt;&gt;"Void – logged in error",OR(AH81&lt;&gt;"",AD81&lt;&gt;"",AE81&lt;&gt;"",AF81&lt;&gt;"",AG81&lt;&gt;"")),ROW(),"")</f>
        <v/>
      </c>
    </row>
    <row r="82" customFormat="false" ht="30" hidden="false" customHeight="true" outlineLevel="0" collapsed="false">
      <c r="A82" s="28" t="str">
        <f aca="false">IF(C82="","","INC-"&amp;YEAR(C82)&amp;"-"&amp;TEXT(COUNTIFS($C$6:C82,"&gt;="&amp;DATE(YEAR(C82),1,1),$C$6:C82,"&lt;="&amp;DATE(YEAR(C82),12,31)),"000"))</f>
        <v/>
      </c>
      <c r="B82" s="29"/>
      <c r="C82" s="30"/>
      <c r="D82" s="31"/>
      <c r="E82" s="30"/>
      <c r="F82" s="29"/>
      <c r="G82" s="29"/>
      <c r="H82" s="29"/>
      <c r="I82" s="29"/>
      <c r="J82" s="29"/>
      <c r="K82" s="29"/>
      <c r="L82" s="29"/>
      <c r="M82" s="29"/>
      <c r="N82" s="29"/>
      <c r="O82" s="29"/>
      <c r="P82" s="29"/>
      <c r="Q82" s="32"/>
      <c r="R82" s="29"/>
      <c r="S82" s="29"/>
      <c r="T82" s="33" t="str">
        <f aca="false">IF(AH82="Void – logged in error","",IF(OR(C82="",S82=""),IF(C82="","","Decide"),IF(OR(S82="Not reportable",S82="Over-3-day injury (record only)"),"No","Yes")))</f>
        <v/>
      </c>
      <c r="U82" s="34" t="str">
        <f aca="false">IF(OR(C82="",S82=""),"",IF(S82="Over-7-day injury",C82+15,IF(OR(S82="Death",S82="Specified injury",S82="Member of public to hospital",S82="Dangerous occurrence"),C82+10,"")))</f>
        <v/>
      </c>
      <c r="V82" s="28" t="str">
        <f aca="true">IF(C82="","",IF(AH82="Void – logged in error","Void",IF(W82&lt;&gt;"","Done – reported",IF(S82="Occupational disease","REPORT NOW – on diagnosis",IF(ISNUMBER(U82),IF(U82&lt;TODAY(),"OVERDUE – report now",IF(U82=TODAY(),"DUE TODAY",IF(U82-TODAY()&lt;='Start here'!$C$7,"DUE in "&amp;(U82-TODAY())&amp;" days",IF(OR(S82="Death",S82="Specified injury",S82="Member of public to hospital",S82="Dangerous occurrence"),"REPORT without delay","Report by date shown")))),IF(AND(N(Q82)&gt;7,OR(S82="",S82="Not reportable",S82="Over-3-day injury (record only)")),"CHECK – over 7 days off",IF(S82="","Decide RIDDOR",IF(S82="Over-3-day injury (record only)","Record only","Not reportable"))))))))</f>
        <v/>
      </c>
      <c r="W82" s="30"/>
      <c r="X82" s="29"/>
      <c r="Y82" s="32"/>
      <c r="Z82" s="29"/>
      <c r="AA82" s="35"/>
      <c r="AB82" s="29"/>
      <c r="AC82" s="29"/>
      <c r="AD82" s="29"/>
      <c r="AE82" s="29"/>
      <c r="AF82" s="29"/>
      <c r="AG82" s="30"/>
      <c r="AH82" s="29"/>
      <c r="AI82" s="36" t="str">
        <f aca="true">IF(OR(C82="",AH82="Closed",AH82="Void – logged in error",AG82=""),"",IF(AG82&lt;TODAY(),"OVERDUE",IF(AG82-TODAY()&lt;='Start here'!$C$8,"Due soon","On track")))</f>
        <v/>
      </c>
      <c r="AJ82" s="29"/>
      <c r="AK82" s="29"/>
      <c r="AL82" s="30"/>
      <c r="AM82" s="37" t="str">
        <f aca="false">IF(AND(C82&lt;&gt;"",AH82&lt;&gt;"Closed",AH82&lt;&gt;"Void – logged in error",OR(AH82&lt;&gt;"",AD82&lt;&gt;"",AE82&lt;&gt;"",AF82&lt;&gt;"",AG82&lt;&gt;"")),ROW(),"")</f>
        <v/>
      </c>
    </row>
    <row r="83" customFormat="false" ht="30" hidden="false" customHeight="true" outlineLevel="0" collapsed="false">
      <c r="A83" s="28" t="str">
        <f aca="false">IF(C83="","","INC-"&amp;YEAR(C83)&amp;"-"&amp;TEXT(COUNTIFS($C$6:C83,"&gt;="&amp;DATE(YEAR(C83),1,1),$C$6:C83,"&lt;="&amp;DATE(YEAR(C83),12,31)),"000"))</f>
        <v/>
      </c>
      <c r="B83" s="29"/>
      <c r="C83" s="30"/>
      <c r="D83" s="31"/>
      <c r="E83" s="30"/>
      <c r="F83" s="29"/>
      <c r="G83" s="29"/>
      <c r="H83" s="29"/>
      <c r="I83" s="29"/>
      <c r="J83" s="29"/>
      <c r="K83" s="29"/>
      <c r="L83" s="29"/>
      <c r="M83" s="29"/>
      <c r="N83" s="29"/>
      <c r="O83" s="29"/>
      <c r="P83" s="29"/>
      <c r="Q83" s="32"/>
      <c r="R83" s="29"/>
      <c r="S83" s="29"/>
      <c r="T83" s="33" t="str">
        <f aca="false">IF(AH83="Void – logged in error","",IF(OR(C83="",S83=""),IF(C83="","","Decide"),IF(OR(S83="Not reportable",S83="Over-3-day injury (record only)"),"No","Yes")))</f>
        <v/>
      </c>
      <c r="U83" s="34" t="str">
        <f aca="false">IF(OR(C83="",S83=""),"",IF(S83="Over-7-day injury",C83+15,IF(OR(S83="Death",S83="Specified injury",S83="Member of public to hospital",S83="Dangerous occurrence"),C83+10,"")))</f>
        <v/>
      </c>
      <c r="V83" s="28" t="str">
        <f aca="true">IF(C83="","",IF(AH83="Void – logged in error","Void",IF(W83&lt;&gt;"","Done – reported",IF(S83="Occupational disease","REPORT NOW – on diagnosis",IF(ISNUMBER(U83),IF(U83&lt;TODAY(),"OVERDUE – report now",IF(U83=TODAY(),"DUE TODAY",IF(U83-TODAY()&lt;='Start here'!$C$7,"DUE in "&amp;(U83-TODAY())&amp;" days",IF(OR(S83="Death",S83="Specified injury",S83="Member of public to hospital",S83="Dangerous occurrence"),"REPORT without delay","Report by date shown")))),IF(AND(N(Q83)&gt;7,OR(S83="",S83="Not reportable",S83="Over-3-day injury (record only)")),"CHECK – over 7 days off",IF(S83="","Decide RIDDOR",IF(S83="Over-3-day injury (record only)","Record only","Not reportable"))))))))</f>
        <v/>
      </c>
      <c r="W83" s="30"/>
      <c r="X83" s="29"/>
      <c r="Y83" s="32"/>
      <c r="Z83" s="29"/>
      <c r="AA83" s="35"/>
      <c r="AB83" s="29"/>
      <c r="AC83" s="29"/>
      <c r="AD83" s="29"/>
      <c r="AE83" s="29"/>
      <c r="AF83" s="29"/>
      <c r="AG83" s="30"/>
      <c r="AH83" s="29"/>
      <c r="AI83" s="36" t="str">
        <f aca="true">IF(OR(C83="",AH83="Closed",AH83="Void – logged in error",AG83=""),"",IF(AG83&lt;TODAY(),"OVERDUE",IF(AG83-TODAY()&lt;='Start here'!$C$8,"Due soon","On track")))</f>
        <v/>
      </c>
      <c r="AJ83" s="29"/>
      <c r="AK83" s="29"/>
      <c r="AL83" s="30"/>
      <c r="AM83" s="37" t="str">
        <f aca="false">IF(AND(C83&lt;&gt;"",AH83&lt;&gt;"Closed",AH83&lt;&gt;"Void – logged in error",OR(AH83&lt;&gt;"",AD83&lt;&gt;"",AE83&lt;&gt;"",AF83&lt;&gt;"",AG83&lt;&gt;"")),ROW(),"")</f>
        <v/>
      </c>
    </row>
    <row r="84" customFormat="false" ht="30" hidden="false" customHeight="true" outlineLevel="0" collapsed="false">
      <c r="A84" s="28" t="str">
        <f aca="false">IF(C84="","","INC-"&amp;YEAR(C84)&amp;"-"&amp;TEXT(COUNTIFS($C$6:C84,"&gt;="&amp;DATE(YEAR(C84),1,1),$C$6:C84,"&lt;="&amp;DATE(YEAR(C84),12,31)),"000"))</f>
        <v/>
      </c>
      <c r="B84" s="29"/>
      <c r="C84" s="30"/>
      <c r="D84" s="31"/>
      <c r="E84" s="30"/>
      <c r="F84" s="29"/>
      <c r="G84" s="29"/>
      <c r="H84" s="29"/>
      <c r="I84" s="29"/>
      <c r="J84" s="29"/>
      <c r="K84" s="29"/>
      <c r="L84" s="29"/>
      <c r="M84" s="29"/>
      <c r="N84" s="29"/>
      <c r="O84" s="29"/>
      <c r="P84" s="29"/>
      <c r="Q84" s="32"/>
      <c r="R84" s="29"/>
      <c r="S84" s="29"/>
      <c r="T84" s="33" t="str">
        <f aca="false">IF(AH84="Void – logged in error","",IF(OR(C84="",S84=""),IF(C84="","","Decide"),IF(OR(S84="Not reportable",S84="Over-3-day injury (record only)"),"No","Yes")))</f>
        <v/>
      </c>
      <c r="U84" s="34" t="str">
        <f aca="false">IF(OR(C84="",S84=""),"",IF(S84="Over-7-day injury",C84+15,IF(OR(S84="Death",S84="Specified injury",S84="Member of public to hospital",S84="Dangerous occurrence"),C84+10,"")))</f>
        <v/>
      </c>
      <c r="V84" s="28" t="str">
        <f aca="true">IF(C84="","",IF(AH84="Void – logged in error","Void",IF(W84&lt;&gt;"","Done – reported",IF(S84="Occupational disease","REPORT NOW – on diagnosis",IF(ISNUMBER(U84),IF(U84&lt;TODAY(),"OVERDUE – report now",IF(U84=TODAY(),"DUE TODAY",IF(U84-TODAY()&lt;='Start here'!$C$7,"DUE in "&amp;(U84-TODAY())&amp;" days",IF(OR(S84="Death",S84="Specified injury",S84="Member of public to hospital",S84="Dangerous occurrence"),"REPORT without delay","Report by date shown")))),IF(AND(N(Q84)&gt;7,OR(S84="",S84="Not reportable",S84="Over-3-day injury (record only)")),"CHECK – over 7 days off",IF(S84="","Decide RIDDOR",IF(S84="Over-3-day injury (record only)","Record only","Not reportable"))))))))</f>
        <v/>
      </c>
      <c r="W84" s="30"/>
      <c r="X84" s="29"/>
      <c r="Y84" s="32"/>
      <c r="Z84" s="29"/>
      <c r="AA84" s="35"/>
      <c r="AB84" s="29"/>
      <c r="AC84" s="29"/>
      <c r="AD84" s="29"/>
      <c r="AE84" s="29"/>
      <c r="AF84" s="29"/>
      <c r="AG84" s="30"/>
      <c r="AH84" s="29"/>
      <c r="AI84" s="36" t="str">
        <f aca="true">IF(OR(C84="",AH84="Closed",AH84="Void – logged in error",AG84=""),"",IF(AG84&lt;TODAY(),"OVERDUE",IF(AG84-TODAY()&lt;='Start here'!$C$8,"Due soon","On track")))</f>
        <v/>
      </c>
      <c r="AJ84" s="29"/>
      <c r="AK84" s="29"/>
      <c r="AL84" s="30"/>
      <c r="AM84" s="37" t="str">
        <f aca="false">IF(AND(C84&lt;&gt;"",AH84&lt;&gt;"Closed",AH84&lt;&gt;"Void – logged in error",OR(AH84&lt;&gt;"",AD84&lt;&gt;"",AE84&lt;&gt;"",AF84&lt;&gt;"",AG84&lt;&gt;"")),ROW(),"")</f>
        <v/>
      </c>
    </row>
    <row r="85" customFormat="false" ht="30" hidden="false" customHeight="true" outlineLevel="0" collapsed="false">
      <c r="A85" s="28" t="str">
        <f aca="false">IF(C85="","","INC-"&amp;YEAR(C85)&amp;"-"&amp;TEXT(COUNTIFS($C$6:C85,"&gt;="&amp;DATE(YEAR(C85),1,1),$C$6:C85,"&lt;="&amp;DATE(YEAR(C85),12,31)),"000"))</f>
        <v/>
      </c>
      <c r="B85" s="29"/>
      <c r="C85" s="30"/>
      <c r="D85" s="31"/>
      <c r="E85" s="30"/>
      <c r="F85" s="29"/>
      <c r="G85" s="29"/>
      <c r="H85" s="29"/>
      <c r="I85" s="29"/>
      <c r="J85" s="29"/>
      <c r="K85" s="29"/>
      <c r="L85" s="29"/>
      <c r="M85" s="29"/>
      <c r="N85" s="29"/>
      <c r="O85" s="29"/>
      <c r="P85" s="29"/>
      <c r="Q85" s="32"/>
      <c r="R85" s="29"/>
      <c r="S85" s="29"/>
      <c r="T85" s="33" t="str">
        <f aca="false">IF(AH85="Void – logged in error","",IF(OR(C85="",S85=""),IF(C85="","","Decide"),IF(OR(S85="Not reportable",S85="Over-3-day injury (record only)"),"No","Yes")))</f>
        <v/>
      </c>
      <c r="U85" s="34" t="str">
        <f aca="false">IF(OR(C85="",S85=""),"",IF(S85="Over-7-day injury",C85+15,IF(OR(S85="Death",S85="Specified injury",S85="Member of public to hospital",S85="Dangerous occurrence"),C85+10,"")))</f>
        <v/>
      </c>
      <c r="V85" s="28" t="str">
        <f aca="true">IF(C85="","",IF(AH85="Void – logged in error","Void",IF(W85&lt;&gt;"","Done – reported",IF(S85="Occupational disease","REPORT NOW – on diagnosis",IF(ISNUMBER(U85),IF(U85&lt;TODAY(),"OVERDUE – report now",IF(U85=TODAY(),"DUE TODAY",IF(U85-TODAY()&lt;='Start here'!$C$7,"DUE in "&amp;(U85-TODAY())&amp;" days",IF(OR(S85="Death",S85="Specified injury",S85="Member of public to hospital",S85="Dangerous occurrence"),"REPORT without delay","Report by date shown")))),IF(AND(N(Q85)&gt;7,OR(S85="",S85="Not reportable",S85="Over-3-day injury (record only)")),"CHECK – over 7 days off",IF(S85="","Decide RIDDOR",IF(S85="Over-3-day injury (record only)","Record only","Not reportable"))))))))</f>
        <v/>
      </c>
      <c r="W85" s="30"/>
      <c r="X85" s="29"/>
      <c r="Y85" s="32"/>
      <c r="Z85" s="29"/>
      <c r="AA85" s="35"/>
      <c r="AB85" s="29"/>
      <c r="AC85" s="29"/>
      <c r="AD85" s="29"/>
      <c r="AE85" s="29"/>
      <c r="AF85" s="29"/>
      <c r="AG85" s="30"/>
      <c r="AH85" s="29"/>
      <c r="AI85" s="36" t="str">
        <f aca="true">IF(OR(C85="",AH85="Closed",AH85="Void – logged in error",AG85=""),"",IF(AG85&lt;TODAY(),"OVERDUE",IF(AG85-TODAY()&lt;='Start here'!$C$8,"Due soon","On track")))</f>
        <v/>
      </c>
      <c r="AJ85" s="29"/>
      <c r="AK85" s="29"/>
      <c r="AL85" s="30"/>
      <c r="AM85" s="37" t="str">
        <f aca="false">IF(AND(C85&lt;&gt;"",AH85&lt;&gt;"Closed",AH85&lt;&gt;"Void – logged in error",OR(AH85&lt;&gt;"",AD85&lt;&gt;"",AE85&lt;&gt;"",AF85&lt;&gt;"",AG85&lt;&gt;"")),ROW(),"")</f>
        <v/>
      </c>
    </row>
    <row r="86" customFormat="false" ht="30" hidden="false" customHeight="true" outlineLevel="0" collapsed="false">
      <c r="A86" s="28" t="str">
        <f aca="false">IF(C86="","","INC-"&amp;YEAR(C86)&amp;"-"&amp;TEXT(COUNTIFS($C$6:C86,"&gt;="&amp;DATE(YEAR(C86),1,1),$C$6:C86,"&lt;="&amp;DATE(YEAR(C86),12,31)),"000"))</f>
        <v/>
      </c>
      <c r="B86" s="29"/>
      <c r="C86" s="30"/>
      <c r="D86" s="31"/>
      <c r="E86" s="30"/>
      <c r="F86" s="29"/>
      <c r="G86" s="29"/>
      <c r="H86" s="29"/>
      <c r="I86" s="29"/>
      <c r="J86" s="29"/>
      <c r="K86" s="29"/>
      <c r="L86" s="29"/>
      <c r="M86" s="29"/>
      <c r="N86" s="29"/>
      <c r="O86" s="29"/>
      <c r="P86" s="29"/>
      <c r="Q86" s="32"/>
      <c r="R86" s="29"/>
      <c r="S86" s="29"/>
      <c r="T86" s="33" t="str">
        <f aca="false">IF(AH86="Void – logged in error","",IF(OR(C86="",S86=""),IF(C86="","","Decide"),IF(OR(S86="Not reportable",S86="Over-3-day injury (record only)"),"No","Yes")))</f>
        <v/>
      </c>
      <c r="U86" s="34" t="str">
        <f aca="false">IF(OR(C86="",S86=""),"",IF(S86="Over-7-day injury",C86+15,IF(OR(S86="Death",S86="Specified injury",S86="Member of public to hospital",S86="Dangerous occurrence"),C86+10,"")))</f>
        <v/>
      </c>
      <c r="V86" s="28" t="str">
        <f aca="true">IF(C86="","",IF(AH86="Void – logged in error","Void",IF(W86&lt;&gt;"","Done – reported",IF(S86="Occupational disease","REPORT NOW – on diagnosis",IF(ISNUMBER(U86),IF(U86&lt;TODAY(),"OVERDUE – report now",IF(U86=TODAY(),"DUE TODAY",IF(U86-TODAY()&lt;='Start here'!$C$7,"DUE in "&amp;(U86-TODAY())&amp;" days",IF(OR(S86="Death",S86="Specified injury",S86="Member of public to hospital",S86="Dangerous occurrence"),"REPORT without delay","Report by date shown")))),IF(AND(N(Q86)&gt;7,OR(S86="",S86="Not reportable",S86="Over-3-day injury (record only)")),"CHECK – over 7 days off",IF(S86="","Decide RIDDOR",IF(S86="Over-3-day injury (record only)","Record only","Not reportable"))))))))</f>
        <v/>
      </c>
      <c r="W86" s="30"/>
      <c r="X86" s="29"/>
      <c r="Y86" s="32"/>
      <c r="Z86" s="29"/>
      <c r="AA86" s="35"/>
      <c r="AB86" s="29"/>
      <c r="AC86" s="29"/>
      <c r="AD86" s="29"/>
      <c r="AE86" s="29"/>
      <c r="AF86" s="29"/>
      <c r="AG86" s="30"/>
      <c r="AH86" s="29"/>
      <c r="AI86" s="36" t="str">
        <f aca="true">IF(OR(C86="",AH86="Closed",AH86="Void – logged in error",AG86=""),"",IF(AG86&lt;TODAY(),"OVERDUE",IF(AG86-TODAY()&lt;='Start here'!$C$8,"Due soon","On track")))</f>
        <v/>
      </c>
      <c r="AJ86" s="29"/>
      <c r="AK86" s="29"/>
      <c r="AL86" s="30"/>
      <c r="AM86" s="37" t="str">
        <f aca="false">IF(AND(C86&lt;&gt;"",AH86&lt;&gt;"Closed",AH86&lt;&gt;"Void – logged in error",OR(AH86&lt;&gt;"",AD86&lt;&gt;"",AE86&lt;&gt;"",AF86&lt;&gt;"",AG86&lt;&gt;"")),ROW(),"")</f>
        <v/>
      </c>
    </row>
    <row r="87" customFormat="false" ht="30" hidden="false" customHeight="true" outlineLevel="0" collapsed="false">
      <c r="A87" s="28" t="str">
        <f aca="false">IF(C87="","","INC-"&amp;YEAR(C87)&amp;"-"&amp;TEXT(COUNTIFS($C$6:C87,"&gt;="&amp;DATE(YEAR(C87),1,1),$C$6:C87,"&lt;="&amp;DATE(YEAR(C87),12,31)),"000"))</f>
        <v/>
      </c>
      <c r="B87" s="29"/>
      <c r="C87" s="30"/>
      <c r="D87" s="31"/>
      <c r="E87" s="30"/>
      <c r="F87" s="29"/>
      <c r="G87" s="29"/>
      <c r="H87" s="29"/>
      <c r="I87" s="29"/>
      <c r="J87" s="29"/>
      <c r="K87" s="29"/>
      <c r="L87" s="29"/>
      <c r="M87" s="29"/>
      <c r="N87" s="29"/>
      <c r="O87" s="29"/>
      <c r="P87" s="29"/>
      <c r="Q87" s="32"/>
      <c r="R87" s="29"/>
      <c r="S87" s="29"/>
      <c r="T87" s="33" t="str">
        <f aca="false">IF(AH87="Void – logged in error","",IF(OR(C87="",S87=""),IF(C87="","","Decide"),IF(OR(S87="Not reportable",S87="Over-3-day injury (record only)"),"No","Yes")))</f>
        <v/>
      </c>
      <c r="U87" s="34" t="str">
        <f aca="false">IF(OR(C87="",S87=""),"",IF(S87="Over-7-day injury",C87+15,IF(OR(S87="Death",S87="Specified injury",S87="Member of public to hospital",S87="Dangerous occurrence"),C87+10,"")))</f>
        <v/>
      </c>
      <c r="V87" s="28" t="str">
        <f aca="true">IF(C87="","",IF(AH87="Void – logged in error","Void",IF(W87&lt;&gt;"","Done – reported",IF(S87="Occupational disease","REPORT NOW – on diagnosis",IF(ISNUMBER(U87),IF(U87&lt;TODAY(),"OVERDUE – report now",IF(U87=TODAY(),"DUE TODAY",IF(U87-TODAY()&lt;='Start here'!$C$7,"DUE in "&amp;(U87-TODAY())&amp;" days",IF(OR(S87="Death",S87="Specified injury",S87="Member of public to hospital",S87="Dangerous occurrence"),"REPORT without delay","Report by date shown")))),IF(AND(N(Q87)&gt;7,OR(S87="",S87="Not reportable",S87="Over-3-day injury (record only)")),"CHECK – over 7 days off",IF(S87="","Decide RIDDOR",IF(S87="Over-3-day injury (record only)","Record only","Not reportable"))))))))</f>
        <v/>
      </c>
      <c r="W87" s="30"/>
      <c r="X87" s="29"/>
      <c r="Y87" s="32"/>
      <c r="Z87" s="29"/>
      <c r="AA87" s="35"/>
      <c r="AB87" s="29"/>
      <c r="AC87" s="29"/>
      <c r="AD87" s="29"/>
      <c r="AE87" s="29"/>
      <c r="AF87" s="29"/>
      <c r="AG87" s="30"/>
      <c r="AH87" s="29"/>
      <c r="AI87" s="36" t="str">
        <f aca="true">IF(OR(C87="",AH87="Closed",AH87="Void – logged in error",AG87=""),"",IF(AG87&lt;TODAY(),"OVERDUE",IF(AG87-TODAY()&lt;='Start here'!$C$8,"Due soon","On track")))</f>
        <v/>
      </c>
      <c r="AJ87" s="29"/>
      <c r="AK87" s="29"/>
      <c r="AL87" s="30"/>
      <c r="AM87" s="37" t="str">
        <f aca="false">IF(AND(C87&lt;&gt;"",AH87&lt;&gt;"Closed",AH87&lt;&gt;"Void – logged in error",OR(AH87&lt;&gt;"",AD87&lt;&gt;"",AE87&lt;&gt;"",AF87&lt;&gt;"",AG87&lt;&gt;"")),ROW(),"")</f>
        <v/>
      </c>
    </row>
    <row r="88" customFormat="false" ht="30" hidden="false" customHeight="true" outlineLevel="0" collapsed="false">
      <c r="A88" s="28" t="str">
        <f aca="false">IF(C88="","","INC-"&amp;YEAR(C88)&amp;"-"&amp;TEXT(COUNTIFS($C$6:C88,"&gt;="&amp;DATE(YEAR(C88),1,1),$C$6:C88,"&lt;="&amp;DATE(YEAR(C88),12,31)),"000"))</f>
        <v/>
      </c>
      <c r="B88" s="29"/>
      <c r="C88" s="30"/>
      <c r="D88" s="31"/>
      <c r="E88" s="30"/>
      <c r="F88" s="29"/>
      <c r="G88" s="29"/>
      <c r="H88" s="29"/>
      <c r="I88" s="29"/>
      <c r="J88" s="29"/>
      <c r="K88" s="29"/>
      <c r="L88" s="29"/>
      <c r="M88" s="29"/>
      <c r="N88" s="29"/>
      <c r="O88" s="29"/>
      <c r="P88" s="29"/>
      <c r="Q88" s="32"/>
      <c r="R88" s="29"/>
      <c r="S88" s="29"/>
      <c r="T88" s="33" t="str">
        <f aca="false">IF(AH88="Void – logged in error","",IF(OR(C88="",S88=""),IF(C88="","","Decide"),IF(OR(S88="Not reportable",S88="Over-3-day injury (record only)"),"No","Yes")))</f>
        <v/>
      </c>
      <c r="U88" s="34" t="str">
        <f aca="false">IF(OR(C88="",S88=""),"",IF(S88="Over-7-day injury",C88+15,IF(OR(S88="Death",S88="Specified injury",S88="Member of public to hospital",S88="Dangerous occurrence"),C88+10,"")))</f>
        <v/>
      </c>
      <c r="V88" s="28" t="str">
        <f aca="true">IF(C88="","",IF(AH88="Void – logged in error","Void",IF(W88&lt;&gt;"","Done – reported",IF(S88="Occupational disease","REPORT NOW – on diagnosis",IF(ISNUMBER(U88),IF(U88&lt;TODAY(),"OVERDUE – report now",IF(U88=TODAY(),"DUE TODAY",IF(U88-TODAY()&lt;='Start here'!$C$7,"DUE in "&amp;(U88-TODAY())&amp;" days",IF(OR(S88="Death",S88="Specified injury",S88="Member of public to hospital",S88="Dangerous occurrence"),"REPORT without delay","Report by date shown")))),IF(AND(N(Q88)&gt;7,OR(S88="",S88="Not reportable",S88="Over-3-day injury (record only)")),"CHECK – over 7 days off",IF(S88="","Decide RIDDOR",IF(S88="Over-3-day injury (record only)","Record only","Not reportable"))))))))</f>
        <v/>
      </c>
      <c r="W88" s="30"/>
      <c r="X88" s="29"/>
      <c r="Y88" s="32"/>
      <c r="Z88" s="29"/>
      <c r="AA88" s="35"/>
      <c r="AB88" s="29"/>
      <c r="AC88" s="29"/>
      <c r="AD88" s="29"/>
      <c r="AE88" s="29"/>
      <c r="AF88" s="29"/>
      <c r="AG88" s="30"/>
      <c r="AH88" s="29"/>
      <c r="AI88" s="36" t="str">
        <f aca="true">IF(OR(C88="",AH88="Closed",AH88="Void – logged in error",AG88=""),"",IF(AG88&lt;TODAY(),"OVERDUE",IF(AG88-TODAY()&lt;='Start here'!$C$8,"Due soon","On track")))</f>
        <v/>
      </c>
      <c r="AJ88" s="29"/>
      <c r="AK88" s="29"/>
      <c r="AL88" s="30"/>
      <c r="AM88" s="37" t="str">
        <f aca="false">IF(AND(C88&lt;&gt;"",AH88&lt;&gt;"Closed",AH88&lt;&gt;"Void – logged in error",OR(AH88&lt;&gt;"",AD88&lt;&gt;"",AE88&lt;&gt;"",AF88&lt;&gt;"",AG88&lt;&gt;"")),ROW(),"")</f>
        <v/>
      </c>
    </row>
    <row r="89" customFormat="false" ht="30" hidden="false" customHeight="true" outlineLevel="0" collapsed="false">
      <c r="A89" s="28" t="str">
        <f aca="false">IF(C89="","","INC-"&amp;YEAR(C89)&amp;"-"&amp;TEXT(COUNTIFS($C$6:C89,"&gt;="&amp;DATE(YEAR(C89),1,1),$C$6:C89,"&lt;="&amp;DATE(YEAR(C89),12,31)),"000"))</f>
        <v/>
      </c>
      <c r="B89" s="29"/>
      <c r="C89" s="30"/>
      <c r="D89" s="31"/>
      <c r="E89" s="30"/>
      <c r="F89" s="29"/>
      <c r="G89" s="29"/>
      <c r="H89" s="29"/>
      <c r="I89" s="29"/>
      <c r="J89" s="29"/>
      <c r="K89" s="29"/>
      <c r="L89" s="29"/>
      <c r="M89" s="29"/>
      <c r="N89" s="29"/>
      <c r="O89" s="29"/>
      <c r="P89" s="29"/>
      <c r="Q89" s="32"/>
      <c r="R89" s="29"/>
      <c r="S89" s="29"/>
      <c r="T89" s="33" t="str">
        <f aca="false">IF(AH89="Void – logged in error","",IF(OR(C89="",S89=""),IF(C89="","","Decide"),IF(OR(S89="Not reportable",S89="Over-3-day injury (record only)"),"No","Yes")))</f>
        <v/>
      </c>
      <c r="U89" s="34" t="str">
        <f aca="false">IF(OR(C89="",S89=""),"",IF(S89="Over-7-day injury",C89+15,IF(OR(S89="Death",S89="Specified injury",S89="Member of public to hospital",S89="Dangerous occurrence"),C89+10,"")))</f>
        <v/>
      </c>
      <c r="V89" s="28" t="str">
        <f aca="true">IF(C89="","",IF(AH89="Void – logged in error","Void",IF(W89&lt;&gt;"","Done – reported",IF(S89="Occupational disease","REPORT NOW – on diagnosis",IF(ISNUMBER(U89),IF(U89&lt;TODAY(),"OVERDUE – report now",IF(U89=TODAY(),"DUE TODAY",IF(U89-TODAY()&lt;='Start here'!$C$7,"DUE in "&amp;(U89-TODAY())&amp;" days",IF(OR(S89="Death",S89="Specified injury",S89="Member of public to hospital",S89="Dangerous occurrence"),"REPORT without delay","Report by date shown")))),IF(AND(N(Q89)&gt;7,OR(S89="",S89="Not reportable",S89="Over-3-day injury (record only)")),"CHECK – over 7 days off",IF(S89="","Decide RIDDOR",IF(S89="Over-3-day injury (record only)","Record only","Not reportable"))))))))</f>
        <v/>
      </c>
      <c r="W89" s="30"/>
      <c r="X89" s="29"/>
      <c r="Y89" s="32"/>
      <c r="Z89" s="29"/>
      <c r="AA89" s="35"/>
      <c r="AB89" s="29"/>
      <c r="AC89" s="29"/>
      <c r="AD89" s="29"/>
      <c r="AE89" s="29"/>
      <c r="AF89" s="29"/>
      <c r="AG89" s="30"/>
      <c r="AH89" s="29"/>
      <c r="AI89" s="36" t="str">
        <f aca="true">IF(OR(C89="",AH89="Closed",AH89="Void – logged in error",AG89=""),"",IF(AG89&lt;TODAY(),"OVERDUE",IF(AG89-TODAY()&lt;='Start here'!$C$8,"Due soon","On track")))</f>
        <v/>
      </c>
      <c r="AJ89" s="29"/>
      <c r="AK89" s="29"/>
      <c r="AL89" s="30"/>
      <c r="AM89" s="37" t="str">
        <f aca="false">IF(AND(C89&lt;&gt;"",AH89&lt;&gt;"Closed",AH89&lt;&gt;"Void – logged in error",OR(AH89&lt;&gt;"",AD89&lt;&gt;"",AE89&lt;&gt;"",AF89&lt;&gt;"",AG89&lt;&gt;"")),ROW(),"")</f>
        <v/>
      </c>
    </row>
    <row r="90" customFormat="false" ht="30" hidden="false" customHeight="true" outlineLevel="0" collapsed="false">
      <c r="A90" s="28" t="str">
        <f aca="false">IF(C90="","","INC-"&amp;YEAR(C90)&amp;"-"&amp;TEXT(COUNTIFS($C$6:C90,"&gt;="&amp;DATE(YEAR(C90),1,1),$C$6:C90,"&lt;="&amp;DATE(YEAR(C90),12,31)),"000"))</f>
        <v/>
      </c>
      <c r="B90" s="29"/>
      <c r="C90" s="30"/>
      <c r="D90" s="31"/>
      <c r="E90" s="30"/>
      <c r="F90" s="29"/>
      <c r="G90" s="29"/>
      <c r="H90" s="29"/>
      <c r="I90" s="29"/>
      <c r="J90" s="29"/>
      <c r="K90" s="29"/>
      <c r="L90" s="29"/>
      <c r="M90" s="29"/>
      <c r="N90" s="29"/>
      <c r="O90" s="29"/>
      <c r="P90" s="29"/>
      <c r="Q90" s="32"/>
      <c r="R90" s="29"/>
      <c r="S90" s="29"/>
      <c r="T90" s="33" t="str">
        <f aca="false">IF(AH90="Void – logged in error","",IF(OR(C90="",S90=""),IF(C90="","","Decide"),IF(OR(S90="Not reportable",S90="Over-3-day injury (record only)"),"No","Yes")))</f>
        <v/>
      </c>
      <c r="U90" s="34" t="str">
        <f aca="false">IF(OR(C90="",S90=""),"",IF(S90="Over-7-day injury",C90+15,IF(OR(S90="Death",S90="Specified injury",S90="Member of public to hospital",S90="Dangerous occurrence"),C90+10,"")))</f>
        <v/>
      </c>
      <c r="V90" s="28" t="str">
        <f aca="true">IF(C90="","",IF(AH90="Void – logged in error","Void",IF(W90&lt;&gt;"","Done – reported",IF(S90="Occupational disease","REPORT NOW – on diagnosis",IF(ISNUMBER(U90),IF(U90&lt;TODAY(),"OVERDUE – report now",IF(U90=TODAY(),"DUE TODAY",IF(U90-TODAY()&lt;='Start here'!$C$7,"DUE in "&amp;(U90-TODAY())&amp;" days",IF(OR(S90="Death",S90="Specified injury",S90="Member of public to hospital",S90="Dangerous occurrence"),"REPORT without delay","Report by date shown")))),IF(AND(N(Q90)&gt;7,OR(S90="",S90="Not reportable",S90="Over-3-day injury (record only)")),"CHECK – over 7 days off",IF(S90="","Decide RIDDOR",IF(S90="Over-3-day injury (record only)","Record only","Not reportable"))))))))</f>
        <v/>
      </c>
      <c r="W90" s="30"/>
      <c r="X90" s="29"/>
      <c r="Y90" s="32"/>
      <c r="Z90" s="29"/>
      <c r="AA90" s="35"/>
      <c r="AB90" s="29"/>
      <c r="AC90" s="29"/>
      <c r="AD90" s="29"/>
      <c r="AE90" s="29"/>
      <c r="AF90" s="29"/>
      <c r="AG90" s="30"/>
      <c r="AH90" s="29"/>
      <c r="AI90" s="36" t="str">
        <f aca="true">IF(OR(C90="",AH90="Closed",AH90="Void – logged in error",AG90=""),"",IF(AG90&lt;TODAY(),"OVERDUE",IF(AG90-TODAY()&lt;='Start here'!$C$8,"Due soon","On track")))</f>
        <v/>
      </c>
      <c r="AJ90" s="29"/>
      <c r="AK90" s="29"/>
      <c r="AL90" s="30"/>
      <c r="AM90" s="37" t="str">
        <f aca="false">IF(AND(C90&lt;&gt;"",AH90&lt;&gt;"Closed",AH90&lt;&gt;"Void – logged in error",OR(AH90&lt;&gt;"",AD90&lt;&gt;"",AE90&lt;&gt;"",AF90&lt;&gt;"",AG90&lt;&gt;"")),ROW(),"")</f>
        <v/>
      </c>
    </row>
    <row r="91" customFormat="false" ht="30" hidden="false" customHeight="true" outlineLevel="0" collapsed="false">
      <c r="A91" s="28" t="str">
        <f aca="false">IF(C91="","","INC-"&amp;YEAR(C91)&amp;"-"&amp;TEXT(COUNTIFS($C$6:C91,"&gt;="&amp;DATE(YEAR(C91),1,1),$C$6:C91,"&lt;="&amp;DATE(YEAR(C91),12,31)),"000"))</f>
        <v/>
      </c>
      <c r="B91" s="29"/>
      <c r="C91" s="30"/>
      <c r="D91" s="31"/>
      <c r="E91" s="30"/>
      <c r="F91" s="29"/>
      <c r="G91" s="29"/>
      <c r="H91" s="29"/>
      <c r="I91" s="29"/>
      <c r="J91" s="29"/>
      <c r="K91" s="29"/>
      <c r="L91" s="29"/>
      <c r="M91" s="29"/>
      <c r="N91" s="29"/>
      <c r="O91" s="29"/>
      <c r="P91" s="29"/>
      <c r="Q91" s="32"/>
      <c r="R91" s="29"/>
      <c r="S91" s="29"/>
      <c r="T91" s="33" t="str">
        <f aca="false">IF(AH91="Void – logged in error","",IF(OR(C91="",S91=""),IF(C91="","","Decide"),IF(OR(S91="Not reportable",S91="Over-3-day injury (record only)"),"No","Yes")))</f>
        <v/>
      </c>
      <c r="U91" s="34" t="str">
        <f aca="false">IF(OR(C91="",S91=""),"",IF(S91="Over-7-day injury",C91+15,IF(OR(S91="Death",S91="Specified injury",S91="Member of public to hospital",S91="Dangerous occurrence"),C91+10,"")))</f>
        <v/>
      </c>
      <c r="V91" s="28" t="str">
        <f aca="true">IF(C91="","",IF(AH91="Void – logged in error","Void",IF(W91&lt;&gt;"","Done – reported",IF(S91="Occupational disease","REPORT NOW – on diagnosis",IF(ISNUMBER(U91),IF(U91&lt;TODAY(),"OVERDUE – report now",IF(U91=TODAY(),"DUE TODAY",IF(U91-TODAY()&lt;='Start here'!$C$7,"DUE in "&amp;(U91-TODAY())&amp;" days",IF(OR(S91="Death",S91="Specified injury",S91="Member of public to hospital",S91="Dangerous occurrence"),"REPORT without delay","Report by date shown")))),IF(AND(N(Q91)&gt;7,OR(S91="",S91="Not reportable",S91="Over-3-day injury (record only)")),"CHECK – over 7 days off",IF(S91="","Decide RIDDOR",IF(S91="Over-3-day injury (record only)","Record only","Not reportable"))))))))</f>
        <v/>
      </c>
      <c r="W91" s="30"/>
      <c r="X91" s="29"/>
      <c r="Y91" s="32"/>
      <c r="Z91" s="29"/>
      <c r="AA91" s="35"/>
      <c r="AB91" s="29"/>
      <c r="AC91" s="29"/>
      <c r="AD91" s="29"/>
      <c r="AE91" s="29"/>
      <c r="AF91" s="29"/>
      <c r="AG91" s="30"/>
      <c r="AH91" s="29"/>
      <c r="AI91" s="36" t="str">
        <f aca="true">IF(OR(C91="",AH91="Closed",AH91="Void – logged in error",AG91=""),"",IF(AG91&lt;TODAY(),"OVERDUE",IF(AG91-TODAY()&lt;='Start here'!$C$8,"Due soon","On track")))</f>
        <v/>
      </c>
      <c r="AJ91" s="29"/>
      <c r="AK91" s="29"/>
      <c r="AL91" s="30"/>
      <c r="AM91" s="37" t="str">
        <f aca="false">IF(AND(C91&lt;&gt;"",AH91&lt;&gt;"Closed",AH91&lt;&gt;"Void – logged in error",OR(AH91&lt;&gt;"",AD91&lt;&gt;"",AE91&lt;&gt;"",AF91&lt;&gt;"",AG91&lt;&gt;"")),ROW(),"")</f>
        <v/>
      </c>
    </row>
    <row r="92" customFormat="false" ht="30" hidden="false" customHeight="true" outlineLevel="0" collapsed="false">
      <c r="A92" s="28" t="str">
        <f aca="false">IF(C92="","","INC-"&amp;YEAR(C92)&amp;"-"&amp;TEXT(COUNTIFS($C$6:C92,"&gt;="&amp;DATE(YEAR(C92),1,1),$C$6:C92,"&lt;="&amp;DATE(YEAR(C92),12,31)),"000"))</f>
        <v/>
      </c>
      <c r="B92" s="29"/>
      <c r="C92" s="30"/>
      <c r="D92" s="31"/>
      <c r="E92" s="30"/>
      <c r="F92" s="29"/>
      <c r="G92" s="29"/>
      <c r="H92" s="29"/>
      <c r="I92" s="29"/>
      <c r="J92" s="29"/>
      <c r="K92" s="29"/>
      <c r="L92" s="29"/>
      <c r="M92" s="29"/>
      <c r="N92" s="29"/>
      <c r="O92" s="29"/>
      <c r="P92" s="29"/>
      <c r="Q92" s="32"/>
      <c r="R92" s="29"/>
      <c r="S92" s="29"/>
      <c r="T92" s="33" t="str">
        <f aca="false">IF(AH92="Void – logged in error","",IF(OR(C92="",S92=""),IF(C92="","","Decide"),IF(OR(S92="Not reportable",S92="Over-3-day injury (record only)"),"No","Yes")))</f>
        <v/>
      </c>
      <c r="U92" s="34" t="str">
        <f aca="false">IF(OR(C92="",S92=""),"",IF(S92="Over-7-day injury",C92+15,IF(OR(S92="Death",S92="Specified injury",S92="Member of public to hospital",S92="Dangerous occurrence"),C92+10,"")))</f>
        <v/>
      </c>
      <c r="V92" s="28" t="str">
        <f aca="true">IF(C92="","",IF(AH92="Void – logged in error","Void",IF(W92&lt;&gt;"","Done – reported",IF(S92="Occupational disease","REPORT NOW – on diagnosis",IF(ISNUMBER(U92),IF(U92&lt;TODAY(),"OVERDUE – report now",IF(U92=TODAY(),"DUE TODAY",IF(U92-TODAY()&lt;='Start here'!$C$7,"DUE in "&amp;(U92-TODAY())&amp;" days",IF(OR(S92="Death",S92="Specified injury",S92="Member of public to hospital",S92="Dangerous occurrence"),"REPORT without delay","Report by date shown")))),IF(AND(N(Q92)&gt;7,OR(S92="",S92="Not reportable",S92="Over-3-day injury (record only)")),"CHECK – over 7 days off",IF(S92="","Decide RIDDOR",IF(S92="Over-3-day injury (record only)","Record only","Not reportable"))))))))</f>
        <v/>
      </c>
      <c r="W92" s="30"/>
      <c r="X92" s="29"/>
      <c r="Y92" s="32"/>
      <c r="Z92" s="29"/>
      <c r="AA92" s="35"/>
      <c r="AB92" s="29"/>
      <c r="AC92" s="29"/>
      <c r="AD92" s="29"/>
      <c r="AE92" s="29"/>
      <c r="AF92" s="29"/>
      <c r="AG92" s="30"/>
      <c r="AH92" s="29"/>
      <c r="AI92" s="36" t="str">
        <f aca="true">IF(OR(C92="",AH92="Closed",AH92="Void – logged in error",AG92=""),"",IF(AG92&lt;TODAY(),"OVERDUE",IF(AG92-TODAY()&lt;='Start here'!$C$8,"Due soon","On track")))</f>
        <v/>
      </c>
      <c r="AJ92" s="29"/>
      <c r="AK92" s="29"/>
      <c r="AL92" s="30"/>
      <c r="AM92" s="37" t="str">
        <f aca="false">IF(AND(C92&lt;&gt;"",AH92&lt;&gt;"Closed",AH92&lt;&gt;"Void – logged in error",OR(AH92&lt;&gt;"",AD92&lt;&gt;"",AE92&lt;&gt;"",AF92&lt;&gt;"",AG92&lt;&gt;"")),ROW(),"")</f>
        <v/>
      </c>
    </row>
    <row r="93" customFormat="false" ht="30" hidden="false" customHeight="true" outlineLevel="0" collapsed="false">
      <c r="A93" s="28" t="str">
        <f aca="false">IF(C93="","","INC-"&amp;YEAR(C93)&amp;"-"&amp;TEXT(COUNTIFS($C$6:C93,"&gt;="&amp;DATE(YEAR(C93),1,1),$C$6:C93,"&lt;="&amp;DATE(YEAR(C93),12,31)),"000"))</f>
        <v/>
      </c>
      <c r="B93" s="29"/>
      <c r="C93" s="30"/>
      <c r="D93" s="31"/>
      <c r="E93" s="30"/>
      <c r="F93" s="29"/>
      <c r="G93" s="29"/>
      <c r="H93" s="29"/>
      <c r="I93" s="29"/>
      <c r="J93" s="29"/>
      <c r="K93" s="29"/>
      <c r="L93" s="29"/>
      <c r="M93" s="29"/>
      <c r="N93" s="29"/>
      <c r="O93" s="29"/>
      <c r="P93" s="29"/>
      <c r="Q93" s="32"/>
      <c r="R93" s="29"/>
      <c r="S93" s="29"/>
      <c r="T93" s="33" t="str">
        <f aca="false">IF(AH93="Void – logged in error","",IF(OR(C93="",S93=""),IF(C93="","","Decide"),IF(OR(S93="Not reportable",S93="Over-3-day injury (record only)"),"No","Yes")))</f>
        <v/>
      </c>
      <c r="U93" s="34" t="str">
        <f aca="false">IF(OR(C93="",S93=""),"",IF(S93="Over-7-day injury",C93+15,IF(OR(S93="Death",S93="Specified injury",S93="Member of public to hospital",S93="Dangerous occurrence"),C93+10,"")))</f>
        <v/>
      </c>
      <c r="V93" s="28" t="str">
        <f aca="true">IF(C93="","",IF(AH93="Void – logged in error","Void",IF(W93&lt;&gt;"","Done – reported",IF(S93="Occupational disease","REPORT NOW – on diagnosis",IF(ISNUMBER(U93),IF(U93&lt;TODAY(),"OVERDUE – report now",IF(U93=TODAY(),"DUE TODAY",IF(U93-TODAY()&lt;='Start here'!$C$7,"DUE in "&amp;(U93-TODAY())&amp;" days",IF(OR(S93="Death",S93="Specified injury",S93="Member of public to hospital",S93="Dangerous occurrence"),"REPORT without delay","Report by date shown")))),IF(AND(N(Q93)&gt;7,OR(S93="",S93="Not reportable",S93="Over-3-day injury (record only)")),"CHECK – over 7 days off",IF(S93="","Decide RIDDOR",IF(S93="Over-3-day injury (record only)","Record only","Not reportable"))))))))</f>
        <v/>
      </c>
      <c r="W93" s="30"/>
      <c r="X93" s="29"/>
      <c r="Y93" s="32"/>
      <c r="Z93" s="29"/>
      <c r="AA93" s="35"/>
      <c r="AB93" s="29"/>
      <c r="AC93" s="29"/>
      <c r="AD93" s="29"/>
      <c r="AE93" s="29"/>
      <c r="AF93" s="29"/>
      <c r="AG93" s="30"/>
      <c r="AH93" s="29"/>
      <c r="AI93" s="36" t="str">
        <f aca="true">IF(OR(C93="",AH93="Closed",AH93="Void – logged in error",AG93=""),"",IF(AG93&lt;TODAY(),"OVERDUE",IF(AG93-TODAY()&lt;='Start here'!$C$8,"Due soon","On track")))</f>
        <v/>
      </c>
      <c r="AJ93" s="29"/>
      <c r="AK93" s="29"/>
      <c r="AL93" s="30"/>
      <c r="AM93" s="37" t="str">
        <f aca="false">IF(AND(C93&lt;&gt;"",AH93&lt;&gt;"Closed",AH93&lt;&gt;"Void – logged in error",OR(AH93&lt;&gt;"",AD93&lt;&gt;"",AE93&lt;&gt;"",AF93&lt;&gt;"",AG93&lt;&gt;"")),ROW(),"")</f>
        <v/>
      </c>
    </row>
    <row r="94" customFormat="false" ht="30" hidden="false" customHeight="true" outlineLevel="0" collapsed="false">
      <c r="A94" s="28" t="str">
        <f aca="false">IF(C94="","","INC-"&amp;YEAR(C94)&amp;"-"&amp;TEXT(COUNTIFS($C$6:C94,"&gt;="&amp;DATE(YEAR(C94),1,1),$C$6:C94,"&lt;="&amp;DATE(YEAR(C94),12,31)),"000"))</f>
        <v/>
      </c>
      <c r="B94" s="29"/>
      <c r="C94" s="30"/>
      <c r="D94" s="31"/>
      <c r="E94" s="30"/>
      <c r="F94" s="29"/>
      <c r="G94" s="29"/>
      <c r="H94" s="29"/>
      <c r="I94" s="29"/>
      <c r="J94" s="29"/>
      <c r="K94" s="29"/>
      <c r="L94" s="29"/>
      <c r="M94" s="29"/>
      <c r="N94" s="29"/>
      <c r="O94" s="29"/>
      <c r="P94" s="29"/>
      <c r="Q94" s="32"/>
      <c r="R94" s="29"/>
      <c r="S94" s="29"/>
      <c r="T94" s="33" t="str">
        <f aca="false">IF(AH94="Void – logged in error","",IF(OR(C94="",S94=""),IF(C94="","","Decide"),IF(OR(S94="Not reportable",S94="Over-3-day injury (record only)"),"No","Yes")))</f>
        <v/>
      </c>
      <c r="U94" s="34" t="str">
        <f aca="false">IF(OR(C94="",S94=""),"",IF(S94="Over-7-day injury",C94+15,IF(OR(S94="Death",S94="Specified injury",S94="Member of public to hospital",S94="Dangerous occurrence"),C94+10,"")))</f>
        <v/>
      </c>
      <c r="V94" s="28" t="str">
        <f aca="true">IF(C94="","",IF(AH94="Void – logged in error","Void",IF(W94&lt;&gt;"","Done – reported",IF(S94="Occupational disease","REPORT NOW – on diagnosis",IF(ISNUMBER(U94),IF(U94&lt;TODAY(),"OVERDUE – report now",IF(U94=TODAY(),"DUE TODAY",IF(U94-TODAY()&lt;='Start here'!$C$7,"DUE in "&amp;(U94-TODAY())&amp;" days",IF(OR(S94="Death",S94="Specified injury",S94="Member of public to hospital",S94="Dangerous occurrence"),"REPORT without delay","Report by date shown")))),IF(AND(N(Q94)&gt;7,OR(S94="",S94="Not reportable",S94="Over-3-day injury (record only)")),"CHECK – over 7 days off",IF(S94="","Decide RIDDOR",IF(S94="Over-3-day injury (record only)","Record only","Not reportable"))))))))</f>
        <v/>
      </c>
      <c r="W94" s="30"/>
      <c r="X94" s="29"/>
      <c r="Y94" s="32"/>
      <c r="Z94" s="29"/>
      <c r="AA94" s="35"/>
      <c r="AB94" s="29"/>
      <c r="AC94" s="29"/>
      <c r="AD94" s="29"/>
      <c r="AE94" s="29"/>
      <c r="AF94" s="29"/>
      <c r="AG94" s="30"/>
      <c r="AH94" s="29"/>
      <c r="AI94" s="36" t="str">
        <f aca="true">IF(OR(C94="",AH94="Closed",AH94="Void – logged in error",AG94=""),"",IF(AG94&lt;TODAY(),"OVERDUE",IF(AG94-TODAY()&lt;='Start here'!$C$8,"Due soon","On track")))</f>
        <v/>
      </c>
      <c r="AJ94" s="29"/>
      <c r="AK94" s="29"/>
      <c r="AL94" s="30"/>
      <c r="AM94" s="37" t="str">
        <f aca="false">IF(AND(C94&lt;&gt;"",AH94&lt;&gt;"Closed",AH94&lt;&gt;"Void – logged in error",OR(AH94&lt;&gt;"",AD94&lt;&gt;"",AE94&lt;&gt;"",AF94&lt;&gt;"",AG94&lt;&gt;"")),ROW(),"")</f>
        <v/>
      </c>
    </row>
    <row r="95" customFormat="false" ht="30" hidden="false" customHeight="true" outlineLevel="0" collapsed="false">
      <c r="A95" s="28" t="str">
        <f aca="false">IF(C95="","","INC-"&amp;YEAR(C95)&amp;"-"&amp;TEXT(COUNTIFS($C$6:C95,"&gt;="&amp;DATE(YEAR(C95),1,1),$C$6:C95,"&lt;="&amp;DATE(YEAR(C95),12,31)),"000"))</f>
        <v/>
      </c>
      <c r="B95" s="29"/>
      <c r="C95" s="30"/>
      <c r="D95" s="31"/>
      <c r="E95" s="30"/>
      <c r="F95" s="29"/>
      <c r="G95" s="29"/>
      <c r="H95" s="29"/>
      <c r="I95" s="29"/>
      <c r="J95" s="29"/>
      <c r="K95" s="29"/>
      <c r="L95" s="29"/>
      <c r="M95" s="29"/>
      <c r="N95" s="29"/>
      <c r="O95" s="29"/>
      <c r="P95" s="29"/>
      <c r="Q95" s="32"/>
      <c r="R95" s="29"/>
      <c r="S95" s="29"/>
      <c r="T95" s="33" t="str">
        <f aca="false">IF(AH95="Void – logged in error","",IF(OR(C95="",S95=""),IF(C95="","","Decide"),IF(OR(S95="Not reportable",S95="Over-3-day injury (record only)"),"No","Yes")))</f>
        <v/>
      </c>
      <c r="U95" s="34" t="str">
        <f aca="false">IF(OR(C95="",S95=""),"",IF(S95="Over-7-day injury",C95+15,IF(OR(S95="Death",S95="Specified injury",S95="Member of public to hospital",S95="Dangerous occurrence"),C95+10,"")))</f>
        <v/>
      </c>
      <c r="V95" s="28" t="str">
        <f aca="true">IF(C95="","",IF(AH95="Void – logged in error","Void",IF(W95&lt;&gt;"","Done – reported",IF(S95="Occupational disease","REPORT NOW – on diagnosis",IF(ISNUMBER(U95),IF(U95&lt;TODAY(),"OVERDUE – report now",IF(U95=TODAY(),"DUE TODAY",IF(U95-TODAY()&lt;='Start here'!$C$7,"DUE in "&amp;(U95-TODAY())&amp;" days",IF(OR(S95="Death",S95="Specified injury",S95="Member of public to hospital",S95="Dangerous occurrence"),"REPORT without delay","Report by date shown")))),IF(AND(N(Q95)&gt;7,OR(S95="",S95="Not reportable",S95="Over-3-day injury (record only)")),"CHECK – over 7 days off",IF(S95="","Decide RIDDOR",IF(S95="Over-3-day injury (record only)","Record only","Not reportable"))))))))</f>
        <v/>
      </c>
      <c r="W95" s="30"/>
      <c r="X95" s="29"/>
      <c r="Y95" s="32"/>
      <c r="Z95" s="29"/>
      <c r="AA95" s="35"/>
      <c r="AB95" s="29"/>
      <c r="AC95" s="29"/>
      <c r="AD95" s="29"/>
      <c r="AE95" s="29"/>
      <c r="AF95" s="29"/>
      <c r="AG95" s="30"/>
      <c r="AH95" s="29"/>
      <c r="AI95" s="36" t="str">
        <f aca="true">IF(OR(C95="",AH95="Closed",AH95="Void – logged in error",AG95=""),"",IF(AG95&lt;TODAY(),"OVERDUE",IF(AG95-TODAY()&lt;='Start here'!$C$8,"Due soon","On track")))</f>
        <v/>
      </c>
      <c r="AJ95" s="29"/>
      <c r="AK95" s="29"/>
      <c r="AL95" s="30"/>
      <c r="AM95" s="37" t="str">
        <f aca="false">IF(AND(C95&lt;&gt;"",AH95&lt;&gt;"Closed",AH95&lt;&gt;"Void – logged in error",OR(AH95&lt;&gt;"",AD95&lt;&gt;"",AE95&lt;&gt;"",AF95&lt;&gt;"",AG95&lt;&gt;"")),ROW(),"")</f>
        <v/>
      </c>
    </row>
    <row r="96" customFormat="false" ht="30" hidden="false" customHeight="true" outlineLevel="0" collapsed="false">
      <c r="A96" s="28" t="str">
        <f aca="false">IF(C96="","","INC-"&amp;YEAR(C96)&amp;"-"&amp;TEXT(COUNTIFS($C$6:C96,"&gt;="&amp;DATE(YEAR(C96),1,1),$C$6:C96,"&lt;="&amp;DATE(YEAR(C96),12,31)),"000"))</f>
        <v/>
      </c>
      <c r="B96" s="29"/>
      <c r="C96" s="30"/>
      <c r="D96" s="31"/>
      <c r="E96" s="30"/>
      <c r="F96" s="29"/>
      <c r="G96" s="29"/>
      <c r="H96" s="29"/>
      <c r="I96" s="29"/>
      <c r="J96" s="29"/>
      <c r="K96" s="29"/>
      <c r="L96" s="29"/>
      <c r="M96" s="29"/>
      <c r="N96" s="29"/>
      <c r="O96" s="29"/>
      <c r="P96" s="29"/>
      <c r="Q96" s="32"/>
      <c r="R96" s="29"/>
      <c r="S96" s="29"/>
      <c r="T96" s="33" t="str">
        <f aca="false">IF(AH96="Void – logged in error","",IF(OR(C96="",S96=""),IF(C96="","","Decide"),IF(OR(S96="Not reportable",S96="Over-3-day injury (record only)"),"No","Yes")))</f>
        <v/>
      </c>
      <c r="U96" s="34" t="str">
        <f aca="false">IF(OR(C96="",S96=""),"",IF(S96="Over-7-day injury",C96+15,IF(OR(S96="Death",S96="Specified injury",S96="Member of public to hospital",S96="Dangerous occurrence"),C96+10,"")))</f>
        <v/>
      </c>
      <c r="V96" s="28" t="str">
        <f aca="true">IF(C96="","",IF(AH96="Void – logged in error","Void",IF(W96&lt;&gt;"","Done – reported",IF(S96="Occupational disease","REPORT NOW – on diagnosis",IF(ISNUMBER(U96),IF(U96&lt;TODAY(),"OVERDUE – report now",IF(U96=TODAY(),"DUE TODAY",IF(U96-TODAY()&lt;='Start here'!$C$7,"DUE in "&amp;(U96-TODAY())&amp;" days",IF(OR(S96="Death",S96="Specified injury",S96="Member of public to hospital",S96="Dangerous occurrence"),"REPORT without delay","Report by date shown")))),IF(AND(N(Q96)&gt;7,OR(S96="",S96="Not reportable",S96="Over-3-day injury (record only)")),"CHECK – over 7 days off",IF(S96="","Decide RIDDOR",IF(S96="Over-3-day injury (record only)","Record only","Not reportable"))))))))</f>
        <v/>
      </c>
      <c r="W96" s="30"/>
      <c r="X96" s="29"/>
      <c r="Y96" s="32"/>
      <c r="Z96" s="29"/>
      <c r="AA96" s="35"/>
      <c r="AB96" s="29"/>
      <c r="AC96" s="29"/>
      <c r="AD96" s="29"/>
      <c r="AE96" s="29"/>
      <c r="AF96" s="29"/>
      <c r="AG96" s="30"/>
      <c r="AH96" s="29"/>
      <c r="AI96" s="36" t="str">
        <f aca="true">IF(OR(C96="",AH96="Closed",AH96="Void – logged in error",AG96=""),"",IF(AG96&lt;TODAY(),"OVERDUE",IF(AG96-TODAY()&lt;='Start here'!$C$8,"Due soon","On track")))</f>
        <v/>
      </c>
      <c r="AJ96" s="29"/>
      <c r="AK96" s="29"/>
      <c r="AL96" s="30"/>
      <c r="AM96" s="37" t="str">
        <f aca="false">IF(AND(C96&lt;&gt;"",AH96&lt;&gt;"Closed",AH96&lt;&gt;"Void – logged in error",OR(AH96&lt;&gt;"",AD96&lt;&gt;"",AE96&lt;&gt;"",AF96&lt;&gt;"",AG96&lt;&gt;"")),ROW(),"")</f>
        <v/>
      </c>
    </row>
    <row r="97" customFormat="false" ht="30" hidden="false" customHeight="true" outlineLevel="0" collapsed="false">
      <c r="A97" s="28" t="str">
        <f aca="false">IF(C97="","","INC-"&amp;YEAR(C97)&amp;"-"&amp;TEXT(COUNTIFS($C$6:C97,"&gt;="&amp;DATE(YEAR(C97),1,1),$C$6:C97,"&lt;="&amp;DATE(YEAR(C97),12,31)),"000"))</f>
        <v/>
      </c>
      <c r="B97" s="29"/>
      <c r="C97" s="30"/>
      <c r="D97" s="31"/>
      <c r="E97" s="30"/>
      <c r="F97" s="29"/>
      <c r="G97" s="29"/>
      <c r="H97" s="29"/>
      <c r="I97" s="29"/>
      <c r="J97" s="29"/>
      <c r="K97" s="29"/>
      <c r="L97" s="29"/>
      <c r="M97" s="29"/>
      <c r="N97" s="29"/>
      <c r="O97" s="29"/>
      <c r="P97" s="29"/>
      <c r="Q97" s="32"/>
      <c r="R97" s="29"/>
      <c r="S97" s="29"/>
      <c r="T97" s="33" t="str">
        <f aca="false">IF(AH97="Void – logged in error","",IF(OR(C97="",S97=""),IF(C97="","","Decide"),IF(OR(S97="Not reportable",S97="Over-3-day injury (record only)"),"No","Yes")))</f>
        <v/>
      </c>
      <c r="U97" s="34" t="str">
        <f aca="false">IF(OR(C97="",S97=""),"",IF(S97="Over-7-day injury",C97+15,IF(OR(S97="Death",S97="Specified injury",S97="Member of public to hospital",S97="Dangerous occurrence"),C97+10,"")))</f>
        <v/>
      </c>
      <c r="V97" s="28" t="str">
        <f aca="true">IF(C97="","",IF(AH97="Void – logged in error","Void",IF(W97&lt;&gt;"","Done – reported",IF(S97="Occupational disease","REPORT NOW – on diagnosis",IF(ISNUMBER(U97),IF(U97&lt;TODAY(),"OVERDUE – report now",IF(U97=TODAY(),"DUE TODAY",IF(U97-TODAY()&lt;='Start here'!$C$7,"DUE in "&amp;(U97-TODAY())&amp;" days",IF(OR(S97="Death",S97="Specified injury",S97="Member of public to hospital",S97="Dangerous occurrence"),"REPORT without delay","Report by date shown")))),IF(AND(N(Q97)&gt;7,OR(S97="",S97="Not reportable",S97="Over-3-day injury (record only)")),"CHECK – over 7 days off",IF(S97="","Decide RIDDOR",IF(S97="Over-3-day injury (record only)","Record only","Not reportable"))))))))</f>
        <v/>
      </c>
      <c r="W97" s="30"/>
      <c r="X97" s="29"/>
      <c r="Y97" s="32"/>
      <c r="Z97" s="29"/>
      <c r="AA97" s="35"/>
      <c r="AB97" s="29"/>
      <c r="AC97" s="29"/>
      <c r="AD97" s="29"/>
      <c r="AE97" s="29"/>
      <c r="AF97" s="29"/>
      <c r="AG97" s="30"/>
      <c r="AH97" s="29"/>
      <c r="AI97" s="36" t="str">
        <f aca="true">IF(OR(C97="",AH97="Closed",AH97="Void – logged in error",AG97=""),"",IF(AG97&lt;TODAY(),"OVERDUE",IF(AG97-TODAY()&lt;='Start here'!$C$8,"Due soon","On track")))</f>
        <v/>
      </c>
      <c r="AJ97" s="29"/>
      <c r="AK97" s="29"/>
      <c r="AL97" s="30"/>
      <c r="AM97" s="37" t="str">
        <f aca="false">IF(AND(C97&lt;&gt;"",AH97&lt;&gt;"Closed",AH97&lt;&gt;"Void – logged in error",OR(AH97&lt;&gt;"",AD97&lt;&gt;"",AE97&lt;&gt;"",AF97&lt;&gt;"",AG97&lt;&gt;"")),ROW(),"")</f>
        <v/>
      </c>
    </row>
    <row r="98" customFormat="false" ht="30" hidden="false" customHeight="true" outlineLevel="0" collapsed="false">
      <c r="A98" s="28" t="str">
        <f aca="false">IF(C98="","","INC-"&amp;YEAR(C98)&amp;"-"&amp;TEXT(COUNTIFS($C$6:C98,"&gt;="&amp;DATE(YEAR(C98),1,1),$C$6:C98,"&lt;="&amp;DATE(YEAR(C98),12,31)),"000"))</f>
        <v/>
      </c>
      <c r="B98" s="29"/>
      <c r="C98" s="30"/>
      <c r="D98" s="31"/>
      <c r="E98" s="30"/>
      <c r="F98" s="29"/>
      <c r="G98" s="29"/>
      <c r="H98" s="29"/>
      <c r="I98" s="29"/>
      <c r="J98" s="29"/>
      <c r="K98" s="29"/>
      <c r="L98" s="29"/>
      <c r="M98" s="29"/>
      <c r="N98" s="29"/>
      <c r="O98" s="29"/>
      <c r="P98" s="29"/>
      <c r="Q98" s="32"/>
      <c r="R98" s="29"/>
      <c r="S98" s="29"/>
      <c r="T98" s="33" t="str">
        <f aca="false">IF(AH98="Void – logged in error","",IF(OR(C98="",S98=""),IF(C98="","","Decide"),IF(OR(S98="Not reportable",S98="Over-3-day injury (record only)"),"No","Yes")))</f>
        <v/>
      </c>
      <c r="U98" s="34" t="str">
        <f aca="false">IF(OR(C98="",S98=""),"",IF(S98="Over-7-day injury",C98+15,IF(OR(S98="Death",S98="Specified injury",S98="Member of public to hospital",S98="Dangerous occurrence"),C98+10,"")))</f>
        <v/>
      </c>
      <c r="V98" s="28" t="str">
        <f aca="true">IF(C98="","",IF(AH98="Void – logged in error","Void",IF(W98&lt;&gt;"","Done – reported",IF(S98="Occupational disease","REPORT NOW – on diagnosis",IF(ISNUMBER(U98),IF(U98&lt;TODAY(),"OVERDUE – report now",IF(U98=TODAY(),"DUE TODAY",IF(U98-TODAY()&lt;='Start here'!$C$7,"DUE in "&amp;(U98-TODAY())&amp;" days",IF(OR(S98="Death",S98="Specified injury",S98="Member of public to hospital",S98="Dangerous occurrence"),"REPORT without delay","Report by date shown")))),IF(AND(N(Q98)&gt;7,OR(S98="",S98="Not reportable",S98="Over-3-day injury (record only)")),"CHECK – over 7 days off",IF(S98="","Decide RIDDOR",IF(S98="Over-3-day injury (record only)","Record only","Not reportable"))))))))</f>
        <v/>
      </c>
      <c r="W98" s="30"/>
      <c r="X98" s="29"/>
      <c r="Y98" s="32"/>
      <c r="Z98" s="29"/>
      <c r="AA98" s="35"/>
      <c r="AB98" s="29"/>
      <c r="AC98" s="29"/>
      <c r="AD98" s="29"/>
      <c r="AE98" s="29"/>
      <c r="AF98" s="29"/>
      <c r="AG98" s="30"/>
      <c r="AH98" s="29"/>
      <c r="AI98" s="36" t="str">
        <f aca="true">IF(OR(C98="",AH98="Closed",AH98="Void – logged in error",AG98=""),"",IF(AG98&lt;TODAY(),"OVERDUE",IF(AG98-TODAY()&lt;='Start here'!$C$8,"Due soon","On track")))</f>
        <v/>
      </c>
      <c r="AJ98" s="29"/>
      <c r="AK98" s="29"/>
      <c r="AL98" s="30"/>
      <c r="AM98" s="37" t="str">
        <f aca="false">IF(AND(C98&lt;&gt;"",AH98&lt;&gt;"Closed",AH98&lt;&gt;"Void – logged in error",OR(AH98&lt;&gt;"",AD98&lt;&gt;"",AE98&lt;&gt;"",AF98&lt;&gt;"",AG98&lt;&gt;"")),ROW(),"")</f>
        <v/>
      </c>
    </row>
    <row r="99" customFormat="false" ht="30" hidden="false" customHeight="true" outlineLevel="0" collapsed="false">
      <c r="A99" s="28" t="str">
        <f aca="false">IF(C99="","","INC-"&amp;YEAR(C99)&amp;"-"&amp;TEXT(COUNTIFS($C$6:C99,"&gt;="&amp;DATE(YEAR(C99),1,1),$C$6:C99,"&lt;="&amp;DATE(YEAR(C99),12,31)),"000"))</f>
        <v/>
      </c>
      <c r="B99" s="29"/>
      <c r="C99" s="30"/>
      <c r="D99" s="31"/>
      <c r="E99" s="30"/>
      <c r="F99" s="29"/>
      <c r="G99" s="29"/>
      <c r="H99" s="29"/>
      <c r="I99" s="29"/>
      <c r="J99" s="29"/>
      <c r="K99" s="29"/>
      <c r="L99" s="29"/>
      <c r="M99" s="29"/>
      <c r="N99" s="29"/>
      <c r="O99" s="29"/>
      <c r="P99" s="29"/>
      <c r="Q99" s="32"/>
      <c r="R99" s="29"/>
      <c r="S99" s="29"/>
      <c r="T99" s="33" t="str">
        <f aca="false">IF(AH99="Void – logged in error","",IF(OR(C99="",S99=""),IF(C99="","","Decide"),IF(OR(S99="Not reportable",S99="Over-3-day injury (record only)"),"No","Yes")))</f>
        <v/>
      </c>
      <c r="U99" s="34" t="str">
        <f aca="false">IF(OR(C99="",S99=""),"",IF(S99="Over-7-day injury",C99+15,IF(OR(S99="Death",S99="Specified injury",S99="Member of public to hospital",S99="Dangerous occurrence"),C99+10,"")))</f>
        <v/>
      </c>
      <c r="V99" s="28" t="str">
        <f aca="true">IF(C99="","",IF(AH99="Void – logged in error","Void",IF(W99&lt;&gt;"","Done – reported",IF(S99="Occupational disease","REPORT NOW – on diagnosis",IF(ISNUMBER(U99),IF(U99&lt;TODAY(),"OVERDUE – report now",IF(U99=TODAY(),"DUE TODAY",IF(U99-TODAY()&lt;='Start here'!$C$7,"DUE in "&amp;(U99-TODAY())&amp;" days",IF(OR(S99="Death",S99="Specified injury",S99="Member of public to hospital",S99="Dangerous occurrence"),"REPORT without delay","Report by date shown")))),IF(AND(N(Q99)&gt;7,OR(S99="",S99="Not reportable",S99="Over-3-day injury (record only)")),"CHECK – over 7 days off",IF(S99="","Decide RIDDOR",IF(S99="Over-3-day injury (record only)","Record only","Not reportable"))))))))</f>
        <v/>
      </c>
      <c r="W99" s="30"/>
      <c r="X99" s="29"/>
      <c r="Y99" s="32"/>
      <c r="Z99" s="29"/>
      <c r="AA99" s="35"/>
      <c r="AB99" s="29"/>
      <c r="AC99" s="29"/>
      <c r="AD99" s="29"/>
      <c r="AE99" s="29"/>
      <c r="AF99" s="29"/>
      <c r="AG99" s="30"/>
      <c r="AH99" s="29"/>
      <c r="AI99" s="36" t="str">
        <f aca="true">IF(OR(C99="",AH99="Closed",AH99="Void – logged in error",AG99=""),"",IF(AG99&lt;TODAY(),"OVERDUE",IF(AG99-TODAY()&lt;='Start here'!$C$8,"Due soon","On track")))</f>
        <v/>
      </c>
      <c r="AJ99" s="29"/>
      <c r="AK99" s="29"/>
      <c r="AL99" s="30"/>
      <c r="AM99" s="37" t="str">
        <f aca="false">IF(AND(C99&lt;&gt;"",AH99&lt;&gt;"Closed",AH99&lt;&gt;"Void – logged in error",OR(AH99&lt;&gt;"",AD99&lt;&gt;"",AE99&lt;&gt;"",AF99&lt;&gt;"",AG99&lt;&gt;"")),ROW(),"")</f>
        <v/>
      </c>
    </row>
    <row r="100" customFormat="false" ht="30" hidden="false" customHeight="true" outlineLevel="0" collapsed="false">
      <c r="A100" s="28" t="str">
        <f aca="false">IF(C100="","","INC-"&amp;YEAR(C100)&amp;"-"&amp;TEXT(COUNTIFS($C$6:C100,"&gt;="&amp;DATE(YEAR(C100),1,1),$C$6:C100,"&lt;="&amp;DATE(YEAR(C100),12,31)),"000"))</f>
        <v/>
      </c>
      <c r="B100" s="29"/>
      <c r="C100" s="30"/>
      <c r="D100" s="31"/>
      <c r="E100" s="30"/>
      <c r="F100" s="29"/>
      <c r="G100" s="29"/>
      <c r="H100" s="29"/>
      <c r="I100" s="29"/>
      <c r="J100" s="29"/>
      <c r="K100" s="29"/>
      <c r="L100" s="29"/>
      <c r="M100" s="29"/>
      <c r="N100" s="29"/>
      <c r="O100" s="29"/>
      <c r="P100" s="29"/>
      <c r="Q100" s="32"/>
      <c r="R100" s="29"/>
      <c r="S100" s="29"/>
      <c r="T100" s="33" t="str">
        <f aca="false">IF(AH100="Void – logged in error","",IF(OR(C100="",S100=""),IF(C100="","","Decide"),IF(OR(S100="Not reportable",S100="Over-3-day injury (record only)"),"No","Yes")))</f>
        <v/>
      </c>
      <c r="U100" s="34" t="str">
        <f aca="false">IF(OR(C100="",S100=""),"",IF(S100="Over-7-day injury",C100+15,IF(OR(S100="Death",S100="Specified injury",S100="Member of public to hospital",S100="Dangerous occurrence"),C100+10,"")))</f>
        <v/>
      </c>
      <c r="V100" s="28" t="str">
        <f aca="true">IF(C100="","",IF(AH100="Void – logged in error","Void",IF(W100&lt;&gt;"","Done – reported",IF(S100="Occupational disease","REPORT NOW – on diagnosis",IF(ISNUMBER(U100),IF(U100&lt;TODAY(),"OVERDUE – report now",IF(U100=TODAY(),"DUE TODAY",IF(U100-TODAY()&lt;='Start here'!$C$7,"DUE in "&amp;(U100-TODAY())&amp;" days",IF(OR(S100="Death",S100="Specified injury",S100="Member of public to hospital",S100="Dangerous occurrence"),"REPORT without delay","Report by date shown")))),IF(AND(N(Q100)&gt;7,OR(S100="",S100="Not reportable",S100="Over-3-day injury (record only)")),"CHECK – over 7 days off",IF(S100="","Decide RIDDOR",IF(S100="Over-3-day injury (record only)","Record only","Not reportable"))))))))</f>
        <v/>
      </c>
      <c r="W100" s="30"/>
      <c r="X100" s="29"/>
      <c r="Y100" s="32"/>
      <c r="Z100" s="29"/>
      <c r="AA100" s="35"/>
      <c r="AB100" s="29"/>
      <c r="AC100" s="29"/>
      <c r="AD100" s="29"/>
      <c r="AE100" s="29"/>
      <c r="AF100" s="29"/>
      <c r="AG100" s="30"/>
      <c r="AH100" s="29"/>
      <c r="AI100" s="36" t="str">
        <f aca="true">IF(OR(C100="",AH100="Closed",AH100="Void – logged in error",AG100=""),"",IF(AG100&lt;TODAY(),"OVERDUE",IF(AG100-TODAY()&lt;='Start here'!$C$8,"Due soon","On track")))</f>
        <v/>
      </c>
      <c r="AJ100" s="29"/>
      <c r="AK100" s="29"/>
      <c r="AL100" s="30"/>
      <c r="AM100" s="37" t="str">
        <f aca="false">IF(AND(C100&lt;&gt;"",AH100&lt;&gt;"Closed",AH100&lt;&gt;"Void – logged in error",OR(AH100&lt;&gt;"",AD100&lt;&gt;"",AE100&lt;&gt;"",AF100&lt;&gt;"",AG100&lt;&gt;"")),ROW(),"")</f>
        <v/>
      </c>
    </row>
    <row r="101" customFormat="false" ht="30" hidden="false" customHeight="true" outlineLevel="0" collapsed="false">
      <c r="A101" s="28" t="str">
        <f aca="false">IF(C101="","","INC-"&amp;YEAR(C101)&amp;"-"&amp;TEXT(COUNTIFS($C$6:C101,"&gt;="&amp;DATE(YEAR(C101),1,1),$C$6:C101,"&lt;="&amp;DATE(YEAR(C101),12,31)),"000"))</f>
        <v/>
      </c>
      <c r="B101" s="29"/>
      <c r="C101" s="30"/>
      <c r="D101" s="31"/>
      <c r="E101" s="30"/>
      <c r="F101" s="29"/>
      <c r="G101" s="29"/>
      <c r="H101" s="29"/>
      <c r="I101" s="29"/>
      <c r="J101" s="29"/>
      <c r="K101" s="29"/>
      <c r="L101" s="29"/>
      <c r="M101" s="29"/>
      <c r="N101" s="29"/>
      <c r="O101" s="29"/>
      <c r="P101" s="29"/>
      <c r="Q101" s="32"/>
      <c r="R101" s="29"/>
      <c r="S101" s="29"/>
      <c r="T101" s="33" t="str">
        <f aca="false">IF(AH101="Void – logged in error","",IF(OR(C101="",S101=""),IF(C101="","","Decide"),IF(OR(S101="Not reportable",S101="Over-3-day injury (record only)"),"No","Yes")))</f>
        <v/>
      </c>
      <c r="U101" s="34" t="str">
        <f aca="false">IF(OR(C101="",S101=""),"",IF(S101="Over-7-day injury",C101+15,IF(OR(S101="Death",S101="Specified injury",S101="Member of public to hospital",S101="Dangerous occurrence"),C101+10,"")))</f>
        <v/>
      </c>
      <c r="V101" s="28" t="str">
        <f aca="true">IF(C101="","",IF(AH101="Void – logged in error","Void",IF(W101&lt;&gt;"","Done – reported",IF(S101="Occupational disease","REPORT NOW – on diagnosis",IF(ISNUMBER(U101),IF(U101&lt;TODAY(),"OVERDUE – report now",IF(U101=TODAY(),"DUE TODAY",IF(U101-TODAY()&lt;='Start here'!$C$7,"DUE in "&amp;(U101-TODAY())&amp;" days",IF(OR(S101="Death",S101="Specified injury",S101="Member of public to hospital",S101="Dangerous occurrence"),"REPORT without delay","Report by date shown")))),IF(AND(N(Q101)&gt;7,OR(S101="",S101="Not reportable",S101="Over-3-day injury (record only)")),"CHECK – over 7 days off",IF(S101="","Decide RIDDOR",IF(S101="Over-3-day injury (record only)","Record only","Not reportable"))))))))</f>
        <v/>
      </c>
      <c r="W101" s="30"/>
      <c r="X101" s="29"/>
      <c r="Y101" s="32"/>
      <c r="Z101" s="29"/>
      <c r="AA101" s="35"/>
      <c r="AB101" s="29"/>
      <c r="AC101" s="29"/>
      <c r="AD101" s="29"/>
      <c r="AE101" s="29"/>
      <c r="AF101" s="29"/>
      <c r="AG101" s="30"/>
      <c r="AH101" s="29"/>
      <c r="AI101" s="36" t="str">
        <f aca="true">IF(OR(C101="",AH101="Closed",AH101="Void – logged in error",AG101=""),"",IF(AG101&lt;TODAY(),"OVERDUE",IF(AG101-TODAY()&lt;='Start here'!$C$8,"Due soon","On track")))</f>
        <v/>
      </c>
      <c r="AJ101" s="29"/>
      <c r="AK101" s="29"/>
      <c r="AL101" s="30"/>
      <c r="AM101" s="37" t="str">
        <f aca="false">IF(AND(C101&lt;&gt;"",AH101&lt;&gt;"Closed",AH101&lt;&gt;"Void – logged in error",OR(AH101&lt;&gt;"",AD101&lt;&gt;"",AE101&lt;&gt;"",AF101&lt;&gt;"",AG101&lt;&gt;"")),ROW(),"")</f>
        <v/>
      </c>
    </row>
    <row r="102" customFormat="false" ht="30" hidden="false" customHeight="true" outlineLevel="0" collapsed="false">
      <c r="A102" s="28" t="str">
        <f aca="false">IF(C102="","","INC-"&amp;YEAR(C102)&amp;"-"&amp;TEXT(COUNTIFS($C$6:C102,"&gt;="&amp;DATE(YEAR(C102),1,1),$C$6:C102,"&lt;="&amp;DATE(YEAR(C102),12,31)),"000"))</f>
        <v/>
      </c>
      <c r="B102" s="29"/>
      <c r="C102" s="30"/>
      <c r="D102" s="31"/>
      <c r="E102" s="30"/>
      <c r="F102" s="29"/>
      <c r="G102" s="29"/>
      <c r="H102" s="29"/>
      <c r="I102" s="29"/>
      <c r="J102" s="29"/>
      <c r="K102" s="29"/>
      <c r="L102" s="29"/>
      <c r="M102" s="29"/>
      <c r="N102" s="29"/>
      <c r="O102" s="29"/>
      <c r="P102" s="29"/>
      <c r="Q102" s="32"/>
      <c r="R102" s="29"/>
      <c r="S102" s="29"/>
      <c r="T102" s="33" t="str">
        <f aca="false">IF(AH102="Void – logged in error","",IF(OR(C102="",S102=""),IF(C102="","","Decide"),IF(OR(S102="Not reportable",S102="Over-3-day injury (record only)"),"No","Yes")))</f>
        <v/>
      </c>
      <c r="U102" s="34" t="str">
        <f aca="false">IF(OR(C102="",S102=""),"",IF(S102="Over-7-day injury",C102+15,IF(OR(S102="Death",S102="Specified injury",S102="Member of public to hospital",S102="Dangerous occurrence"),C102+10,"")))</f>
        <v/>
      </c>
      <c r="V102" s="28" t="str">
        <f aca="true">IF(C102="","",IF(AH102="Void – logged in error","Void",IF(W102&lt;&gt;"","Done – reported",IF(S102="Occupational disease","REPORT NOW – on diagnosis",IF(ISNUMBER(U102),IF(U102&lt;TODAY(),"OVERDUE – report now",IF(U102=TODAY(),"DUE TODAY",IF(U102-TODAY()&lt;='Start here'!$C$7,"DUE in "&amp;(U102-TODAY())&amp;" days",IF(OR(S102="Death",S102="Specified injury",S102="Member of public to hospital",S102="Dangerous occurrence"),"REPORT without delay","Report by date shown")))),IF(AND(N(Q102)&gt;7,OR(S102="",S102="Not reportable",S102="Over-3-day injury (record only)")),"CHECK – over 7 days off",IF(S102="","Decide RIDDOR",IF(S102="Over-3-day injury (record only)","Record only","Not reportable"))))))))</f>
        <v/>
      </c>
      <c r="W102" s="30"/>
      <c r="X102" s="29"/>
      <c r="Y102" s="32"/>
      <c r="Z102" s="29"/>
      <c r="AA102" s="35"/>
      <c r="AB102" s="29"/>
      <c r="AC102" s="29"/>
      <c r="AD102" s="29"/>
      <c r="AE102" s="29"/>
      <c r="AF102" s="29"/>
      <c r="AG102" s="30"/>
      <c r="AH102" s="29"/>
      <c r="AI102" s="36" t="str">
        <f aca="true">IF(OR(C102="",AH102="Closed",AH102="Void – logged in error",AG102=""),"",IF(AG102&lt;TODAY(),"OVERDUE",IF(AG102-TODAY()&lt;='Start here'!$C$8,"Due soon","On track")))</f>
        <v/>
      </c>
      <c r="AJ102" s="29"/>
      <c r="AK102" s="29"/>
      <c r="AL102" s="30"/>
      <c r="AM102" s="37" t="str">
        <f aca="false">IF(AND(C102&lt;&gt;"",AH102&lt;&gt;"Closed",AH102&lt;&gt;"Void – logged in error",OR(AH102&lt;&gt;"",AD102&lt;&gt;"",AE102&lt;&gt;"",AF102&lt;&gt;"",AG102&lt;&gt;"")),ROW(),"")</f>
        <v/>
      </c>
    </row>
    <row r="103" customFormat="false" ht="30" hidden="false" customHeight="true" outlineLevel="0" collapsed="false">
      <c r="A103" s="28" t="str">
        <f aca="false">IF(C103="","","INC-"&amp;YEAR(C103)&amp;"-"&amp;TEXT(COUNTIFS($C$6:C103,"&gt;="&amp;DATE(YEAR(C103),1,1),$C$6:C103,"&lt;="&amp;DATE(YEAR(C103),12,31)),"000"))</f>
        <v/>
      </c>
      <c r="B103" s="29"/>
      <c r="C103" s="30"/>
      <c r="D103" s="31"/>
      <c r="E103" s="30"/>
      <c r="F103" s="29"/>
      <c r="G103" s="29"/>
      <c r="H103" s="29"/>
      <c r="I103" s="29"/>
      <c r="J103" s="29"/>
      <c r="K103" s="29"/>
      <c r="L103" s="29"/>
      <c r="M103" s="29"/>
      <c r="N103" s="29"/>
      <c r="O103" s="29"/>
      <c r="P103" s="29"/>
      <c r="Q103" s="32"/>
      <c r="R103" s="29"/>
      <c r="S103" s="29"/>
      <c r="T103" s="33" t="str">
        <f aca="false">IF(AH103="Void – logged in error","",IF(OR(C103="",S103=""),IF(C103="","","Decide"),IF(OR(S103="Not reportable",S103="Over-3-day injury (record only)"),"No","Yes")))</f>
        <v/>
      </c>
      <c r="U103" s="34" t="str">
        <f aca="false">IF(OR(C103="",S103=""),"",IF(S103="Over-7-day injury",C103+15,IF(OR(S103="Death",S103="Specified injury",S103="Member of public to hospital",S103="Dangerous occurrence"),C103+10,"")))</f>
        <v/>
      </c>
      <c r="V103" s="28" t="str">
        <f aca="true">IF(C103="","",IF(AH103="Void – logged in error","Void",IF(W103&lt;&gt;"","Done – reported",IF(S103="Occupational disease","REPORT NOW – on diagnosis",IF(ISNUMBER(U103),IF(U103&lt;TODAY(),"OVERDUE – report now",IF(U103=TODAY(),"DUE TODAY",IF(U103-TODAY()&lt;='Start here'!$C$7,"DUE in "&amp;(U103-TODAY())&amp;" days",IF(OR(S103="Death",S103="Specified injury",S103="Member of public to hospital",S103="Dangerous occurrence"),"REPORT without delay","Report by date shown")))),IF(AND(N(Q103)&gt;7,OR(S103="",S103="Not reportable",S103="Over-3-day injury (record only)")),"CHECK – over 7 days off",IF(S103="","Decide RIDDOR",IF(S103="Over-3-day injury (record only)","Record only","Not reportable"))))))))</f>
        <v/>
      </c>
      <c r="W103" s="30"/>
      <c r="X103" s="29"/>
      <c r="Y103" s="32"/>
      <c r="Z103" s="29"/>
      <c r="AA103" s="35"/>
      <c r="AB103" s="29"/>
      <c r="AC103" s="29"/>
      <c r="AD103" s="29"/>
      <c r="AE103" s="29"/>
      <c r="AF103" s="29"/>
      <c r="AG103" s="30"/>
      <c r="AH103" s="29"/>
      <c r="AI103" s="36" t="str">
        <f aca="true">IF(OR(C103="",AH103="Closed",AH103="Void – logged in error",AG103=""),"",IF(AG103&lt;TODAY(),"OVERDUE",IF(AG103-TODAY()&lt;='Start here'!$C$8,"Due soon","On track")))</f>
        <v/>
      </c>
      <c r="AJ103" s="29"/>
      <c r="AK103" s="29"/>
      <c r="AL103" s="30"/>
      <c r="AM103" s="37" t="str">
        <f aca="false">IF(AND(C103&lt;&gt;"",AH103&lt;&gt;"Closed",AH103&lt;&gt;"Void – logged in error",OR(AH103&lt;&gt;"",AD103&lt;&gt;"",AE103&lt;&gt;"",AF103&lt;&gt;"",AG103&lt;&gt;"")),ROW(),"")</f>
        <v/>
      </c>
    </row>
    <row r="104" customFormat="false" ht="30" hidden="false" customHeight="true" outlineLevel="0" collapsed="false">
      <c r="A104" s="28" t="str">
        <f aca="false">IF(C104="","","INC-"&amp;YEAR(C104)&amp;"-"&amp;TEXT(COUNTIFS($C$6:C104,"&gt;="&amp;DATE(YEAR(C104),1,1),$C$6:C104,"&lt;="&amp;DATE(YEAR(C104),12,31)),"000"))</f>
        <v/>
      </c>
      <c r="B104" s="29"/>
      <c r="C104" s="30"/>
      <c r="D104" s="31"/>
      <c r="E104" s="30"/>
      <c r="F104" s="29"/>
      <c r="G104" s="29"/>
      <c r="H104" s="29"/>
      <c r="I104" s="29"/>
      <c r="J104" s="29"/>
      <c r="K104" s="29"/>
      <c r="L104" s="29"/>
      <c r="M104" s="29"/>
      <c r="N104" s="29"/>
      <c r="O104" s="29"/>
      <c r="P104" s="29"/>
      <c r="Q104" s="32"/>
      <c r="R104" s="29"/>
      <c r="S104" s="29"/>
      <c r="T104" s="33" t="str">
        <f aca="false">IF(AH104="Void – logged in error","",IF(OR(C104="",S104=""),IF(C104="","","Decide"),IF(OR(S104="Not reportable",S104="Over-3-day injury (record only)"),"No","Yes")))</f>
        <v/>
      </c>
      <c r="U104" s="34" t="str">
        <f aca="false">IF(OR(C104="",S104=""),"",IF(S104="Over-7-day injury",C104+15,IF(OR(S104="Death",S104="Specified injury",S104="Member of public to hospital",S104="Dangerous occurrence"),C104+10,"")))</f>
        <v/>
      </c>
      <c r="V104" s="28" t="str">
        <f aca="true">IF(C104="","",IF(AH104="Void – logged in error","Void",IF(W104&lt;&gt;"","Done – reported",IF(S104="Occupational disease","REPORT NOW – on diagnosis",IF(ISNUMBER(U104),IF(U104&lt;TODAY(),"OVERDUE – report now",IF(U104=TODAY(),"DUE TODAY",IF(U104-TODAY()&lt;='Start here'!$C$7,"DUE in "&amp;(U104-TODAY())&amp;" days",IF(OR(S104="Death",S104="Specified injury",S104="Member of public to hospital",S104="Dangerous occurrence"),"REPORT without delay","Report by date shown")))),IF(AND(N(Q104)&gt;7,OR(S104="",S104="Not reportable",S104="Over-3-day injury (record only)")),"CHECK – over 7 days off",IF(S104="","Decide RIDDOR",IF(S104="Over-3-day injury (record only)","Record only","Not reportable"))))))))</f>
        <v/>
      </c>
      <c r="W104" s="30"/>
      <c r="X104" s="29"/>
      <c r="Y104" s="32"/>
      <c r="Z104" s="29"/>
      <c r="AA104" s="35"/>
      <c r="AB104" s="29"/>
      <c r="AC104" s="29"/>
      <c r="AD104" s="29"/>
      <c r="AE104" s="29"/>
      <c r="AF104" s="29"/>
      <c r="AG104" s="30"/>
      <c r="AH104" s="29"/>
      <c r="AI104" s="36" t="str">
        <f aca="true">IF(OR(C104="",AH104="Closed",AH104="Void – logged in error",AG104=""),"",IF(AG104&lt;TODAY(),"OVERDUE",IF(AG104-TODAY()&lt;='Start here'!$C$8,"Due soon","On track")))</f>
        <v/>
      </c>
      <c r="AJ104" s="29"/>
      <c r="AK104" s="29"/>
      <c r="AL104" s="30"/>
      <c r="AM104" s="37" t="str">
        <f aca="false">IF(AND(C104&lt;&gt;"",AH104&lt;&gt;"Closed",AH104&lt;&gt;"Void – logged in error",OR(AH104&lt;&gt;"",AD104&lt;&gt;"",AE104&lt;&gt;"",AF104&lt;&gt;"",AG104&lt;&gt;"")),ROW(),"")</f>
        <v/>
      </c>
    </row>
    <row r="105" customFormat="false" ht="30" hidden="false" customHeight="true" outlineLevel="0" collapsed="false">
      <c r="A105" s="28" t="str">
        <f aca="false">IF(C105="","","INC-"&amp;YEAR(C105)&amp;"-"&amp;TEXT(COUNTIFS($C$6:C105,"&gt;="&amp;DATE(YEAR(C105),1,1),$C$6:C105,"&lt;="&amp;DATE(YEAR(C105),12,31)),"000"))</f>
        <v/>
      </c>
      <c r="B105" s="29"/>
      <c r="C105" s="30"/>
      <c r="D105" s="31"/>
      <c r="E105" s="30"/>
      <c r="F105" s="29"/>
      <c r="G105" s="29"/>
      <c r="H105" s="29"/>
      <c r="I105" s="29"/>
      <c r="J105" s="29"/>
      <c r="K105" s="29"/>
      <c r="L105" s="29"/>
      <c r="M105" s="29"/>
      <c r="N105" s="29"/>
      <c r="O105" s="29"/>
      <c r="P105" s="29"/>
      <c r="Q105" s="32"/>
      <c r="R105" s="29"/>
      <c r="S105" s="29"/>
      <c r="T105" s="33" t="str">
        <f aca="false">IF(AH105="Void – logged in error","",IF(OR(C105="",S105=""),IF(C105="","","Decide"),IF(OR(S105="Not reportable",S105="Over-3-day injury (record only)"),"No","Yes")))</f>
        <v/>
      </c>
      <c r="U105" s="34" t="str">
        <f aca="false">IF(OR(C105="",S105=""),"",IF(S105="Over-7-day injury",C105+15,IF(OR(S105="Death",S105="Specified injury",S105="Member of public to hospital",S105="Dangerous occurrence"),C105+10,"")))</f>
        <v/>
      </c>
      <c r="V105" s="28" t="str">
        <f aca="true">IF(C105="","",IF(AH105="Void – logged in error","Void",IF(W105&lt;&gt;"","Done – reported",IF(S105="Occupational disease","REPORT NOW – on diagnosis",IF(ISNUMBER(U105),IF(U105&lt;TODAY(),"OVERDUE – report now",IF(U105=TODAY(),"DUE TODAY",IF(U105-TODAY()&lt;='Start here'!$C$7,"DUE in "&amp;(U105-TODAY())&amp;" days",IF(OR(S105="Death",S105="Specified injury",S105="Member of public to hospital",S105="Dangerous occurrence"),"REPORT without delay","Report by date shown")))),IF(AND(N(Q105)&gt;7,OR(S105="",S105="Not reportable",S105="Over-3-day injury (record only)")),"CHECK – over 7 days off",IF(S105="","Decide RIDDOR",IF(S105="Over-3-day injury (record only)","Record only","Not reportable"))))))))</f>
        <v/>
      </c>
      <c r="W105" s="30"/>
      <c r="X105" s="29"/>
      <c r="Y105" s="32"/>
      <c r="Z105" s="29"/>
      <c r="AA105" s="35"/>
      <c r="AB105" s="29"/>
      <c r="AC105" s="29"/>
      <c r="AD105" s="29"/>
      <c r="AE105" s="29"/>
      <c r="AF105" s="29"/>
      <c r="AG105" s="30"/>
      <c r="AH105" s="29"/>
      <c r="AI105" s="36" t="str">
        <f aca="true">IF(OR(C105="",AH105="Closed",AH105="Void – logged in error",AG105=""),"",IF(AG105&lt;TODAY(),"OVERDUE",IF(AG105-TODAY()&lt;='Start here'!$C$8,"Due soon","On track")))</f>
        <v/>
      </c>
      <c r="AJ105" s="29"/>
      <c r="AK105" s="29"/>
      <c r="AL105" s="30"/>
      <c r="AM105" s="37" t="str">
        <f aca="false">IF(AND(C105&lt;&gt;"",AH105&lt;&gt;"Closed",AH105&lt;&gt;"Void – logged in error",OR(AH105&lt;&gt;"",AD105&lt;&gt;"",AE105&lt;&gt;"",AF105&lt;&gt;"",AG105&lt;&gt;"")),ROW(),"")</f>
        <v/>
      </c>
    </row>
    <row r="106" customFormat="false" ht="30" hidden="false" customHeight="true" outlineLevel="0" collapsed="false">
      <c r="A106" s="28" t="str">
        <f aca="false">IF(C106="","","INC-"&amp;YEAR(C106)&amp;"-"&amp;TEXT(COUNTIFS($C$6:C106,"&gt;="&amp;DATE(YEAR(C106),1,1),$C$6:C106,"&lt;="&amp;DATE(YEAR(C106),12,31)),"000"))</f>
        <v/>
      </c>
      <c r="B106" s="29"/>
      <c r="C106" s="30"/>
      <c r="D106" s="31"/>
      <c r="E106" s="30"/>
      <c r="F106" s="29"/>
      <c r="G106" s="29"/>
      <c r="H106" s="29"/>
      <c r="I106" s="29"/>
      <c r="J106" s="29"/>
      <c r="K106" s="29"/>
      <c r="L106" s="29"/>
      <c r="M106" s="29"/>
      <c r="N106" s="29"/>
      <c r="O106" s="29"/>
      <c r="P106" s="29"/>
      <c r="Q106" s="32"/>
      <c r="R106" s="29"/>
      <c r="S106" s="29"/>
      <c r="T106" s="33" t="str">
        <f aca="false">IF(AH106="Void – logged in error","",IF(OR(C106="",S106=""),IF(C106="","","Decide"),IF(OR(S106="Not reportable",S106="Over-3-day injury (record only)"),"No","Yes")))</f>
        <v/>
      </c>
      <c r="U106" s="34" t="str">
        <f aca="false">IF(OR(C106="",S106=""),"",IF(S106="Over-7-day injury",C106+15,IF(OR(S106="Death",S106="Specified injury",S106="Member of public to hospital",S106="Dangerous occurrence"),C106+10,"")))</f>
        <v/>
      </c>
      <c r="V106" s="28" t="str">
        <f aca="true">IF(C106="","",IF(AH106="Void – logged in error","Void",IF(W106&lt;&gt;"","Done – reported",IF(S106="Occupational disease","REPORT NOW – on diagnosis",IF(ISNUMBER(U106),IF(U106&lt;TODAY(),"OVERDUE – report now",IF(U106=TODAY(),"DUE TODAY",IF(U106-TODAY()&lt;='Start here'!$C$7,"DUE in "&amp;(U106-TODAY())&amp;" days",IF(OR(S106="Death",S106="Specified injury",S106="Member of public to hospital",S106="Dangerous occurrence"),"REPORT without delay","Report by date shown")))),IF(AND(N(Q106)&gt;7,OR(S106="",S106="Not reportable",S106="Over-3-day injury (record only)")),"CHECK – over 7 days off",IF(S106="","Decide RIDDOR",IF(S106="Over-3-day injury (record only)","Record only","Not reportable"))))))))</f>
        <v/>
      </c>
      <c r="W106" s="30"/>
      <c r="X106" s="29"/>
      <c r="Y106" s="32"/>
      <c r="Z106" s="29"/>
      <c r="AA106" s="35"/>
      <c r="AB106" s="29"/>
      <c r="AC106" s="29"/>
      <c r="AD106" s="29"/>
      <c r="AE106" s="29"/>
      <c r="AF106" s="29"/>
      <c r="AG106" s="30"/>
      <c r="AH106" s="29"/>
      <c r="AI106" s="36" t="str">
        <f aca="true">IF(OR(C106="",AH106="Closed",AH106="Void – logged in error",AG106=""),"",IF(AG106&lt;TODAY(),"OVERDUE",IF(AG106-TODAY()&lt;='Start here'!$C$8,"Due soon","On track")))</f>
        <v/>
      </c>
      <c r="AJ106" s="29"/>
      <c r="AK106" s="29"/>
      <c r="AL106" s="30"/>
      <c r="AM106" s="37" t="str">
        <f aca="false">IF(AND(C106&lt;&gt;"",AH106&lt;&gt;"Closed",AH106&lt;&gt;"Void – logged in error",OR(AH106&lt;&gt;"",AD106&lt;&gt;"",AE106&lt;&gt;"",AF106&lt;&gt;"",AG106&lt;&gt;"")),ROW(),"")</f>
        <v/>
      </c>
    </row>
    <row r="107" customFormat="false" ht="30" hidden="false" customHeight="true" outlineLevel="0" collapsed="false">
      <c r="A107" s="28" t="str">
        <f aca="false">IF(C107="","","INC-"&amp;YEAR(C107)&amp;"-"&amp;TEXT(COUNTIFS($C$6:C107,"&gt;="&amp;DATE(YEAR(C107),1,1),$C$6:C107,"&lt;="&amp;DATE(YEAR(C107),12,31)),"000"))</f>
        <v/>
      </c>
      <c r="B107" s="29"/>
      <c r="C107" s="30"/>
      <c r="D107" s="31"/>
      <c r="E107" s="30"/>
      <c r="F107" s="29"/>
      <c r="G107" s="29"/>
      <c r="H107" s="29"/>
      <c r="I107" s="29"/>
      <c r="J107" s="29"/>
      <c r="K107" s="29"/>
      <c r="L107" s="29"/>
      <c r="M107" s="29"/>
      <c r="N107" s="29"/>
      <c r="O107" s="29"/>
      <c r="P107" s="29"/>
      <c r="Q107" s="32"/>
      <c r="R107" s="29"/>
      <c r="S107" s="29"/>
      <c r="T107" s="33" t="str">
        <f aca="false">IF(AH107="Void – logged in error","",IF(OR(C107="",S107=""),IF(C107="","","Decide"),IF(OR(S107="Not reportable",S107="Over-3-day injury (record only)"),"No","Yes")))</f>
        <v/>
      </c>
      <c r="U107" s="34" t="str">
        <f aca="false">IF(OR(C107="",S107=""),"",IF(S107="Over-7-day injury",C107+15,IF(OR(S107="Death",S107="Specified injury",S107="Member of public to hospital",S107="Dangerous occurrence"),C107+10,"")))</f>
        <v/>
      </c>
      <c r="V107" s="28" t="str">
        <f aca="true">IF(C107="","",IF(AH107="Void – logged in error","Void",IF(W107&lt;&gt;"","Done – reported",IF(S107="Occupational disease","REPORT NOW – on diagnosis",IF(ISNUMBER(U107),IF(U107&lt;TODAY(),"OVERDUE – report now",IF(U107=TODAY(),"DUE TODAY",IF(U107-TODAY()&lt;='Start here'!$C$7,"DUE in "&amp;(U107-TODAY())&amp;" days",IF(OR(S107="Death",S107="Specified injury",S107="Member of public to hospital",S107="Dangerous occurrence"),"REPORT without delay","Report by date shown")))),IF(AND(N(Q107)&gt;7,OR(S107="",S107="Not reportable",S107="Over-3-day injury (record only)")),"CHECK – over 7 days off",IF(S107="","Decide RIDDOR",IF(S107="Over-3-day injury (record only)","Record only","Not reportable"))))))))</f>
        <v/>
      </c>
      <c r="W107" s="30"/>
      <c r="X107" s="29"/>
      <c r="Y107" s="32"/>
      <c r="Z107" s="29"/>
      <c r="AA107" s="35"/>
      <c r="AB107" s="29"/>
      <c r="AC107" s="29"/>
      <c r="AD107" s="29"/>
      <c r="AE107" s="29"/>
      <c r="AF107" s="29"/>
      <c r="AG107" s="30"/>
      <c r="AH107" s="29"/>
      <c r="AI107" s="36" t="str">
        <f aca="true">IF(OR(C107="",AH107="Closed",AH107="Void – logged in error",AG107=""),"",IF(AG107&lt;TODAY(),"OVERDUE",IF(AG107-TODAY()&lt;='Start here'!$C$8,"Due soon","On track")))</f>
        <v/>
      </c>
      <c r="AJ107" s="29"/>
      <c r="AK107" s="29"/>
      <c r="AL107" s="30"/>
      <c r="AM107" s="37" t="str">
        <f aca="false">IF(AND(C107&lt;&gt;"",AH107&lt;&gt;"Closed",AH107&lt;&gt;"Void – logged in error",OR(AH107&lt;&gt;"",AD107&lt;&gt;"",AE107&lt;&gt;"",AF107&lt;&gt;"",AG107&lt;&gt;"")),ROW(),"")</f>
        <v/>
      </c>
    </row>
    <row r="108" customFormat="false" ht="30" hidden="false" customHeight="true" outlineLevel="0" collapsed="false">
      <c r="A108" s="28" t="str">
        <f aca="false">IF(C108="","","INC-"&amp;YEAR(C108)&amp;"-"&amp;TEXT(COUNTIFS($C$6:C108,"&gt;="&amp;DATE(YEAR(C108),1,1),$C$6:C108,"&lt;="&amp;DATE(YEAR(C108),12,31)),"000"))</f>
        <v/>
      </c>
      <c r="B108" s="29"/>
      <c r="C108" s="30"/>
      <c r="D108" s="31"/>
      <c r="E108" s="30"/>
      <c r="F108" s="29"/>
      <c r="G108" s="29"/>
      <c r="H108" s="29"/>
      <c r="I108" s="29"/>
      <c r="J108" s="29"/>
      <c r="K108" s="29"/>
      <c r="L108" s="29"/>
      <c r="M108" s="29"/>
      <c r="N108" s="29"/>
      <c r="O108" s="29"/>
      <c r="P108" s="29"/>
      <c r="Q108" s="32"/>
      <c r="R108" s="29"/>
      <c r="S108" s="29"/>
      <c r="T108" s="33" t="str">
        <f aca="false">IF(AH108="Void – logged in error","",IF(OR(C108="",S108=""),IF(C108="","","Decide"),IF(OR(S108="Not reportable",S108="Over-3-day injury (record only)"),"No","Yes")))</f>
        <v/>
      </c>
      <c r="U108" s="34" t="str">
        <f aca="false">IF(OR(C108="",S108=""),"",IF(S108="Over-7-day injury",C108+15,IF(OR(S108="Death",S108="Specified injury",S108="Member of public to hospital",S108="Dangerous occurrence"),C108+10,"")))</f>
        <v/>
      </c>
      <c r="V108" s="28" t="str">
        <f aca="true">IF(C108="","",IF(AH108="Void – logged in error","Void",IF(W108&lt;&gt;"","Done – reported",IF(S108="Occupational disease","REPORT NOW – on diagnosis",IF(ISNUMBER(U108),IF(U108&lt;TODAY(),"OVERDUE – report now",IF(U108=TODAY(),"DUE TODAY",IF(U108-TODAY()&lt;='Start here'!$C$7,"DUE in "&amp;(U108-TODAY())&amp;" days",IF(OR(S108="Death",S108="Specified injury",S108="Member of public to hospital",S108="Dangerous occurrence"),"REPORT without delay","Report by date shown")))),IF(AND(N(Q108)&gt;7,OR(S108="",S108="Not reportable",S108="Over-3-day injury (record only)")),"CHECK – over 7 days off",IF(S108="","Decide RIDDOR",IF(S108="Over-3-day injury (record only)","Record only","Not reportable"))))))))</f>
        <v/>
      </c>
      <c r="W108" s="30"/>
      <c r="X108" s="29"/>
      <c r="Y108" s="32"/>
      <c r="Z108" s="29"/>
      <c r="AA108" s="35"/>
      <c r="AB108" s="29"/>
      <c r="AC108" s="29"/>
      <c r="AD108" s="29"/>
      <c r="AE108" s="29"/>
      <c r="AF108" s="29"/>
      <c r="AG108" s="30"/>
      <c r="AH108" s="29"/>
      <c r="AI108" s="36" t="str">
        <f aca="true">IF(OR(C108="",AH108="Closed",AH108="Void – logged in error",AG108=""),"",IF(AG108&lt;TODAY(),"OVERDUE",IF(AG108-TODAY()&lt;='Start here'!$C$8,"Due soon","On track")))</f>
        <v/>
      </c>
      <c r="AJ108" s="29"/>
      <c r="AK108" s="29"/>
      <c r="AL108" s="30"/>
      <c r="AM108" s="37" t="str">
        <f aca="false">IF(AND(C108&lt;&gt;"",AH108&lt;&gt;"Closed",AH108&lt;&gt;"Void – logged in error",OR(AH108&lt;&gt;"",AD108&lt;&gt;"",AE108&lt;&gt;"",AF108&lt;&gt;"",AG108&lt;&gt;"")),ROW(),"")</f>
        <v/>
      </c>
    </row>
    <row r="109" customFormat="false" ht="30" hidden="false" customHeight="true" outlineLevel="0" collapsed="false">
      <c r="A109" s="28" t="str">
        <f aca="false">IF(C109="","","INC-"&amp;YEAR(C109)&amp;"-"&amp;TEXT(COUNTIFS($C$6:C109,"&gt;="&amp;DATE(YEAR(C109),1,1),$C$6:C109,"&lt;="&amp;DATE(YEAR(C109),12,31)),"000"))</f>
        <v/>
      </c>
      <c r="B109" s="29"/>
      <c r="C109" s="30"/>
      <c r="D109" s="31"/>
      <c r="E109" s="30"/>
      <c r="F109" s="29"/>
      <c r="G109" s="29"/>
      <c r="H109" s="29"/>
      <c r="I109" s="29"/>
      <c r="J109" s="29"/>
      <c r="K109" s="29"/>
      <c r="L109" s="29"/>
      <c r="M109" s="29"/>
      <c r="N109" s="29"/>
      <c r="O109" s="29"/>
      <c r="P109" s="29"/>
      <c r="Q109" s="32"/>
      <c r="R109" s="29"/>
      <c r="S109" s="29"/>
      <c r="T109" s="33" t="str">
        <f aca="false">IF(AH109="Void – logged in error","",IF(OR(C109="",S109=""),IF(C109="","","Decide"),IF(OR(S109="Not reportable",S109="Over-3-day injury (record only)"),"No","Yes")))</f>
        <v/>
      </c>
      <c r="U109" s="34" t="str">
        <f aca="false">IF(OR(C109="",S109=""),"",IF(S109="Over-7-day injury",C109+15,IF(OR(S109="Death",S109="Specified injury",S109="Member of public to hospital",S109="Dangerous occurrence"),C109+10,"")))</f>
        <v/>
      </c>
      <c r="V109" s="28" t="str">
        <f aca="true">IF(C109="","",IF(AH109="Void – logged in error","Void",IF(W109&lt;&gt;"","Done – reported",IF(S109="Occupational disease","REPORT NOW – on diagnosis",IF(ISNUMBER(U109),IF(U109&lt;TODAY(),"OVERDUE – report now",IF(U109=TODAY(),"DUE TODAY",IF(U109-TODAY()&lt;='Start here'!$C$7,"DUE in "&amp;(U109-TODAY())&amp;" days",IF(OR(S109="Death",S109="Specified injury",S109="Member of public to hospital",S109="Dangerous occurrence"),"REPORT without delay","Report by date shown")))),IF(AND(N(Q109)&gt;7,OR(S109="",S109="Not reportable",S109="Over-3-day injury (record only)")),"CHECK – over 7 days off",IF(S109="","Decide RIDDOR",IF(S109="Over-3-day injury (record only)","Record only","Not reportable"))))))))</f>
        <v/>
      </c>
      <c r="W109" s="30"/>
      <c r="X109" s="29"/>
      <c r="Y109" s="32"/>
      <c r="Z109" s="29"/>
      <c r="AA109" s="35"/>
      <c r="AB109" s="29"/>
      <c r="AC109" s="29"/>
      <c r="AD109" s="29"/>
      <c r="AE109" s="29"/>
      <c r="AF109" s="29"/>
      <c r="AG109" s="30"/>
      <c r="AH109" s="29"/>
      <c r="AI109" s="36" t="str">
        <f aca="true">IF(OR(C109="",AH109="Closed",AH109="Void – logged in error",AG109=""),"",IF(AG109&lt;TODAY(),"OVERDUE",IF(AG109-TODAY()&lt;='Start here'!$C$8,"Due soon","On track")))</f>
        <v/>
      </c>
      <c r="AJ109" s="29"/>
      <c r="AK109" s="29"/>
      <c r="AL109" s="30"/>
      <c r="AM109" s="37" t="str">
        <f aca="false">IF(AND(C109&lt;&gt;"",AH109&lt;&gt;"Closed",AH109&lt;&gt;"Void – logged in error",OR(AH109&lt;&gt;"",AD109&lt;&gt;"",AE109&lt;&gt;"",AF109&lt;&gt;"",AG109&lt;&gt;"")),ROW(),"")</f>
        <v/>
      </c>
    </row>
    <row r="110" customFormat="false" ht="30" hidden="false" customHeight="true" outlineLevel="0" collapsed="false">
      <c r="A110" s="28" t="str">
        <f aca="false">IF(C110="","","INC-"&amp;YEAR(C110)&amp;"-"&amp;TEXT(COUNTIFS($C$6:C110,"&gt;="&amp;DATE(YEAR(C110),1,1),$C$6:C110,"&lt;="&amp;DATE(YEAR(C110),12,31)),"000"))</f>
        <v/>
      </c>
      <c r="B110" s="29"/>
      <c r="C110" s="30"/>
      <c r="D110" s="31"/>
      <c r="E110" s="30"/>
      <c r="F110" s="29"/>
      <c r="G110" s="29"/>
      <c r="H110" s="29"/>
      <c r="I110" s="29"/>
      <c r="J110" s="29"/>
      <c r="K110" s="29"/>
      <c r="L110" s="29"/>
      <c r="M110" s="29"/>
      <c r="N110" s="29"/>
      <c r="O110" s="29"/>
      <c r="P110" s="29"/>
      <c r="Q110" s="32"/>
      <c r="R110" s="29"/>
      <c r="S110" s="29"/>
      <c r="T110" s="33" t="str">
        <f aca="false">IF(AH110="Void – logged in error","",IF(OR(C110="",S110=""),IF(C110="","","Decide"),IF(OR(S110="Not reportable",S110="Over-3-day injury (record only)"),"No","Yes")))</f>
        <v/>
      </c>
      <c r="U110" s="34" t="str">
        <f aca="false">IF(OR(C110="",S110=""),"",IF(S110="Over-7-day injury",C110+15,IF(OR(S110="Death",S110="Specified injury",S110="Member of public to hospital",S110="Dangerous occurrence"),C110+10,"")))</f>
        <v/>
      </c>
      <c r="V110" s="28" t="str">
        <f aca="true">IF(C110="","",IF(AH110="Void – logged in error","Void",IF(W110&lt;&gt;"","Done – reported",IF(S110="Occupational disease","REPORT NOW – on diagnosis",IF(ISNUMBER(U110),IF(U110&lt;TODAY(),"OVERDUE – report now",IF(U110=TODAY(),"DUE TODAY",IF(U110-TODAY()&lt;='Start here'!$C$7,"DUE in "&amp;(U110-TODAY())&amp;" days",IF(OR(S110="Death",S110="Specified injury",S110="Member of public to hospital",S110="Dangerous occurrence"),"REPORT without delay","Report by date shown")))),IF(AND(N(Q110)&gt;7,OR(S110="",S110="Not reportable",S110="Over-3-day injury (record only)")),"CHECK – over 7 days off",IF(S110="","Decide RIDDOR",IF(S110="Over-3-day injury (record only)","Record only","Not reportable"))))))))</f>
        <v/>
      </c>
      <c r="W110" s="30"/>
      <c r="X110" s="29"/>
      <c r="Y110" s="32"/>
      <c r="Z110" s="29"/>
      <c r="AA110" s="35"/>
      <c r="AB110" s="29"/>
      <c r="AC110" s="29"/>
      <c r="AD110" s="29"/>
      <c r="AE110" s="29"/>
      <c r="AF110" s="29"/>
      <c r="AG110" s="30"/>
      <c r="AH110" s="29"/>
      <c r="AI110" s="36" t="str">
        <f aca="true">IF(OR(C110="",AH110="Closed",AH110="Void – logged in error",AG110=""),"",IF(AG110&lt;TODAY(),"OVERDUE",IF(AG110-TODAY()&lt;='Start here'!$C$8,"Due soon","On track")))</f>
        <v/>
      </c>
      <c r="AJ110" s="29"/>
      <c r="AK110" s="29"/>
      <c r="AL110" s="30"/>
      <c r="AM110" s="37" t="str">
        <f aca="false">IF(AND(C110&lt;&gt;"",AH110&lt;&gt;"Closed",AH110&lt;&gt;"Void – logged in error",OR(AH110&lt;&gt;"",AD110&lt;&gt;"",AE110&lt;&gt;"",AF110&lt;&gt;"",AG110&lt;&gt;"")),ROW(),"")</f>
        <v/>
      </c>
    </row>
    <row r="111" customFormat="false" ht="30" hidden="false" customHeight="true" outlineLevel="0" collapsed="false">
      <c r="A111" s="28" t="str">
        <f aca="false">IF(C111="","","INC-"&amp;YEAR(C111)&amp;"-"&amp;TEXT(COUNTIFS($C$6:C111,"&gt;="&amp;DATE(YEAR(C111),1,1),$C$6:C111,"&lt;="&amp;DATE(YEAR(C111),12,31)),"000"))</f>
        <v/>
      </c>
      <c r="B111" s="29"/>
      <c r="C111" s="30"/>
      <c r="D111" s="31"/>
      <c r="E111" s="30"/>
      <c r="F111" s="29"/>
      <c r="G111" s="29"/>
      <c r="H111" s="29"/>
      <c r="I111" s="29"/>
      <c r="J111" s="29"/>
      <c r="K111" s="29"/>
      <c r="L111" s="29"/>
      <c r="M111" s="29"/>
      <c r="N111" s="29"/>
      <c r="O111" s="29"/>
      <c r="P111" s="29"/>
      <c r="Q111" s="32"/>
      <c r="R111" s="29"/>
      <c r="S111" s="29"/>
      <c r="T111" s="33" t="str">
        <f aca="false">IF(AH111="Void – logged in error","",IF(OR(C111="",S111=""),IF(C111="","","Decide"),IF(OR(S111="Not reportable",S111="Over-3-day injury (record only)"),"No","Yes")))</f>
        <v/>
      </c>
      <c r="U111" s="34" t="str">
        <f aca="false">IF(OR(C111="",S111=""),"",IF(S111="Over-7-day injury",C111+15,IF(OR(S111="Death",S111="Specified injury",S111="Member of public to hospital",S111="Dangerous occurrence"),C111+10,"")))</f>
        <v/>
      </c>
      <c r="V111" s="28" t="str">
        <f aca="true">IF(C111="","",IF(AH111="Void – logged in error","Void",IF(W111&lt;&gt;"","Done – reported",IF(S111="Occupational disease","REPORT NOW – on diagnosis",IF(ISNUMBER(U111),IF(U111&lt;TODAY(),"OVERDUE – report now",IF(U111=TODAY(),"DUE TODAY",IF(U111-TODAY()&lt;='Start here'!$C$7,"DUE in "&amp;(U111-TODAY())&amp;" days",IF(OR(S111="Death",S111="Specified injury",S111="Member of public to hospital",S111="Dangerous occurrence"),"REPORT without delay","Report by date shown")))),IF(AND(N(Q111)&gt;7,OR(S111="",S111="Not reportable",S111="Over-3-day injury (record only)")),"CHECK – over 7 days off",IF(S111="","Decide RIDDOR",IF(S111="Over-3-day injury (record only)","Record only","Not reportable"))))))))</f>
        <v/>
      </c>
      <c r="W111" s="30"/>
      <c r="X111" s="29"/>
      <c r="Y111" s="32"/>
      <c r="Z111" s="29"/>
      <c r="AA111" s="35"/>
      <c r="AB111" s="29"/>
      <c r="AC111" s="29"/>
      <c r="AD111" s="29"/>
      <c r="AE111" s="29"/>
      <c r="AF111" s="29"/>
      <c r="AG111" s="30"/>
      <c r="AH111" s="29"/>
      <c r="AI111" s="36" t="str">
        <f aca="true">IF(OR(C111="",AH111="Closed",AH111="Void – logged in error",AG111=""),"",IF(AG111&lt;TODAY(),"OVERDUE",IF(AG111-TODAY()&lt;='Start here'!$C$8,"Due soon","On track")))</f>
        <v/>
      </c>
      <c r="AJ111" s="29"/>
      <c r="AK111" s="29"/>
      <c r="AL111" s="30"/>
      <c r="AM111" s="37" t="str">
        <f aca="false">IF(AND(C111&lt;&gt;"",AH111&lt;&gt;"Closed",AH111&lt;&gt;"Void – logged in error",OR(AH111&lt;&gt;"",AD111&lt;&gt;"",AE111&lt;&gt;"",AF111&lt;&gt;"",AG111&lt;&gt;"")),ROW(),"")</f>
        <v/>
      </c>
    </row>
    <row r="112" customFormat="false" ht="30" hidden="false" customHeight="true" outlineLevel="0" collapsed="false">
      <c r="A112" s="28" t="str">
        <f aca="false">IF(C112="","","INC-"&amp;YEAR(C112)&amp;"-"&amp;TEXT(COUNTIFS($C$6:C112,"&gt;="&amp;DATE(YEAR(C112),1,1),$C$6:C112,"&lt;="&amp;DATE(YEAR(C112),12,31)),"000"))</f>
        <v/>
      </c>
      <c r="B112" s="29"/>
      <c r="C112" s="30"/>
      <c r="D112" s="31"/>
      <c r="E112" s="30"/>
      <c r="F112" s="29"/>
      <c r="G112" s="29"/>
      <c r="H112" s="29"/>
      <c r="I112" s="29"/>
      <c r="J112" s="29"/>
      <c r="K112" s="29"/>
      <c r="L112" s="29"/>
      <c r="M112" s="29"/>
      <c r="N112" s="29"/>
      <c r="O112" s="29"/>
      <c r="P112" s="29"/>
      <c r="Q112" s="32"/>
      <c r="R112" s="29"/>
      <c r="S112" s="29"/>
      <c r="T112" s="33" t="str">
        <f aca="false">IF(AH112="Void – logged in error","",IF(OR(C112="",S112=""),IF(C112="","","Decide"),IF(OR(S112="Not reportable",S112="Over-3-day injury (record only)"),"No","Yes")))</f>
        <v/>
      </c>
      <c r="U112" s="34" t="str">
        <f aca="false">IF(OR(C112="",S112=""),"",IF(S112="Over-7-day injury",C112+15,IF(OR(S112="Death",S112="Specified injury",S112="Member of public to hospital",S112="Dangerous occurrence"),C112+10,"")))</f>
        <v/>
      </c>
      <c r="V112" s="28" t="str">
        <f aca="true">IF(C112="","",IF(AH112="Void – logged in error","Void",IF(W112&lt;&gt;"","Done – reported",IF(S112="Occupational disease","REPORT NOW – on diagnosis",IF(ISNUMBER(U112),IF(U112&lt;TODAY(),"OVERDUE – report now",IF(U112=TODAY(),"DUE TODAY",IF(U112-TODAY()&lt;='Start here'!$C$7,"DUE in "&amp;(U112-TODAY())&amp;" days",IF(OR(S112="Death",S112="Specified injury",S112="Member of public to hospital",S112="Dangerous occurrence"),"REPORT without delay","Report by date shown")))),IF(AND(N(Q112)&gt;7,OR(S112="",S112="Not reportable",S112="Over-3-day injury (record only)")),"CHECK – over 7 days off",IF(S112="","Decide RIDDOR",IF(S112="Over-3-day injury (record only)","Record only","Not reportable"))))))))</f>
        <v/>
      </c>
      <c r="W112" s="30"/>
      <c r="X112" s="29"/>
      <c r="Y112" s="32"/>
      <c r="Z112" s="29"/>
      <c r="AA112" s="35"/>
      <c r="AB112" s="29"/>
      <c r="AC112" s="29"/>
      <c r="AD112" s="29"/>
      <c r="AE112" s="29"/>
      <c r="AF112" s="29"/>
      <c r="AG112" s="30"/>
      <c r="AH112" s="29"/>
      <c r="AI112" s="36" t="str">
        <f aca="true">IF(OR(C112="",AH112="Closed",AH112="Void – logged in error",AG112=""),"",IF(AG112&lt;TODAY(),"OVERDUE",IF(AG112-TODAY()&lt;='Start here'!$C$8,"Due soon","On track")))</f>
        <v/>
      </c>
      <c r="AJ112" s="29"/>
      <c r="AK112" s="29"/>
      <c r="AL112" s="30"/>
      <c r="AM112" s="37" t="str">
        <f aca="false">IF(AND(C112&lt;&gt;"",AH112&lt;&gt;"Closed",AH112&lt;&gt;"Void – logged in error",OR(AH112&lt;&gt;"",AD112&lt;&gt;"",AE112&lt;&gt;"",AF112&lt;&gt;"",AG112&lt;&gt;"")),ROW(),"")</f>
        <v/>
      </c>
    </row>
    <row r="113" customFormat="false" ht="30" hidden="false" customHeight="true" outlineLevel="0" collapsed="false">
      <c r="A113" s="28" t="str">
        <f aca="false">IF(C113="","","INC-"&amp;YEAR(C113)&amp;"-"&amp;TEXT(COUNTIFS($C$6:C113,"&gt;="&amp;DATE(YEAR(C113),1,1),$C$6:C113,"&lt;="&amp;DATE(YEAR(C113),12,31)),"000"))</f>
        <v/>
      </c>
      <c r="B113" s="29"/>
      <c r="C113" s="30"/>
      <c r="D113" s="31"/>
      <c r="E113" s="30"/>
      <c r="F113" s="29"/>
      <c r="G113" s="29"/>
      <c r="H113" s="29"/>
      <c r="I113" s="29"/>
      <c r="J113" s="29"/>
      <c r="K113" s="29"/>
      <c r="L113" s="29"/>
      <c r="M113" s="29"/>
      <c r="N113" s="29"/>
      <c r="O113" s="29"/>
      <c r="P113" s="29"/>
      <c r="Q113" s="32"/>
      <c r="R113" s="29"/>
      <c r="S113" s="29"/>
      <c r="T113" s="33" t="str">
        <f aca="false">IF(AH113="Void – logged in error","",IF(OR(C113="",S113=""),IF(C113="","","Decide"),IF(OR(S113="Not reportable",S113="Over-3-day injury (record only)"),"No","Yes")))</f>
        <v/>
      </c>
      <c r="U113" s="34" t="str">
        <f aca="false">IF(OR(C113="",S113=""),"",IF(S113="Over-7-day injury",C113+15,IF(OR(S113="Death",S113="Specified injury",S113="Member of public to hospital",S113="Dangerous occurrence"),C113+10,"")))</f>
        <v/>
      </c>
      <c r="V113" s="28" t="str">
        <f aca="true">IF(C113="","",IF(AH113="Void – logged in error","Void",IF(W113&lt;&gt;"","Done – reported",IF(S113="Occupational disease","REPORT NOW – on diagnosis",IF(ISNUMBER(U113),IF(U113&lt;TODAY(),"OVERDUE – report now",IF(U113=TODAY(),"DUE TODAY",IF(U113-TODAY()&lt;='Start here'!$C$7,"DUE in "&amp;(U113-TODAY())&amp;" days",IF(OR(S113="Death",S113="Specified injury",S113="Member of public to hospital",S113="Dangerous occurrence"),"REPORT without delay","Report by date shown")))),IF(AND(N(Q113)&gt;7,OR(S113="",S113="Not reportable",S113="Over-3-day injury (record only)")),"CHECK – over 7 days off",IF(S113="","Decide RIDDOR",IF(S113="Over-3-day injury (record only)","Record only","Not reportable"))))))))</f>
        <v/>
      </c>
      <c r="W113" s="30"/>
      <c r="X113" s="29"/>
      <c r="Y113" s="32"/>
      <c r="Z113" s="29"/>
      <c r="AA113" s="35"/>
      <c r="AB113" s="29"/>
      <c r="AC113" s="29"/>
      <c r="AD113" s="29"/>
      <c r="AE113" s="29"/>
      <c r="AF113" s="29"/>
      <c r="AG113" s="30"/>
      <c r="AH113" s="29"/>
      <c r="AI113" s="36" t="str">
        <f aca="true">IF(OR(C113="",AH113="Closed",AH113="Void – logged in error",AG113=""),"",IF(AG113&lt;TODAY(),"OVERDUE",IF(AG113-TODAY()&lt;='Start here'!$C$8,"Due soon","On track")))</f>
        <v/>
      </c>
      <c r="AJ113" s="29"/>
      <c r="AK113" s="29"/>
      <c r="AL113" s="30"/>
      <c r="AM113" s="37" t="str">
        <f aca="false">IF(AND(C113&lt;&gt;"",AH113&lt;&gt;"Closed",AH113&lt;&gt;"Void – logged in error",OR(AH113&lt;&gt;"",AD113&lt;&gt;"",AE113&lt;&gt;"",AF113&lt;&gt;"",AG113&lt;&gt;"")),ROW(),"")</f>
        <v/>
      </c>
    </row>
    <row r="114" customFormat="false" ht="30" hidden="false" customHeight="true" outlineLevel="0" collapsed="false">
      <c r="A114" s="28" t="str">
        <f aca="false">IF(C114="","","INC-"&amp;YEAR(C114)&amp;"-"&amp;TEXT(COUNTIFS($C$6:C114,"&gt;="&amp;DATE(YEAR(C114),1,1),$C$6:C114,"&lt;="&amp;DATE(YEAR(C114),12,31)),"000"))</f>
        <v/>
      </c>
      <c r="B114" s="29"/>
      <c r="C114" s="30"/>
      <c r="D114" s="31"/>
      <c r="E114" s="30"/>
      <c r="F114" s="29"/>
      <c r="G114" s="29"/>
      <c r="H114" s="29"/>
      <c r="I114" s="29"/>
      <c r="J114" s="29"/>
      <c r="K114" s="29"/>
      <c r="L114" s="29"/>
      <c r="M114" s="29"/>
      <c r="N114" s="29"/>
      <c r="O114" s="29"/>
      <c r="P114" s="29"/>
      <c r="Q114" s="32"/>
      <c r="R114" s="29"/>
      <c r="S114" s="29"/>
      <c r="T114" s="33" t="str">
        <f aca="false">IF(AH114="Void – logged in error","",IF(OR(C114="",S114=""),IF(C114="","","Decide"),IF(OR(S114="Not reportable",S114="Over-3-day injury (record only)"),"No","Yes")))</f>
        <v/>
      </c>
      <c r="U114" s="34" t="str">
        <f aca="false">IF(OR(C114="",S114=""),"",IF(S114="Over-7-day injury",C114+15,IF(OR(S114="Death",S114="Specified injury",S114="Member of public to hospital",S114="Dangerous occurrence"),C114+10,"")))</f>
        <v/>
      </c>
      <c r="V114" s="28" t="str">
        <f aca="true">IF(C114="","",IF(AH114="Void – logged in error","Void",IF(W114&lt;&gt;"","Done – reported",IF(S114="Occupational disease","REPORT NOW – on diagnosis",IF(ISNUMBER(U114),IF(U114&lt;TODAY(),"OVERDUE – report now",IF(U114=TODAY(),"DUE TODAY",IF(U114-TODAY()&lt;='Start here'!$C$7,"DUE in "&amp;(U114-TODAY())&amp;" days",IF(OR(S114="Death",S114="Specified injury",S114="Member of public to hospital",S114="Dangerous occurrence"),"REPORT without delay","Report by date shown")))),IF(AND(N(Q114)&gt;7,OR(S114="",S114="Not reportable",S114="Over-3-day injury (record only)")),"CHECK – over 7 days off",IF(S114="","Decide RIDDOR",IF(S114="Over-3-day injury (record only)","Record only","Not reportable"))))))))</f>
        <v/>
      </c>
      <c r="W114" s="30"/>
      <c r="X114" s="29"/>
      <c r="Y114" s="32"/>
      <c r="Z114" s="29"/>
      <c r="AA114" s="35"/>
      <c r="AB114" s="29"/>
      <c r="AC114" s="29"/>
      <c r="AD114" s="29"/>
      <c r="AE114" s="29"/>
      <c r="AF114" s="29"/>
      <c r="AG114" s="30"/>
      <c r="AH114" s="29"/>
      <c r="AI114" s="36" t="str">
        <f aca="true">IF(OR(C114="",AH114="Closed",AH114="Void – logged in error",AG114=""),"",IF(AG114&lt;TODAY(),"OVERDUE",IF(AG114-TODAY()&lt;='Start here'!$C$8,"Due soon","On track")))</f>
        <v/>
      </c>
      <c r="AJ114" s="29"/>
      <c r="AK114" s="29"/>
      <c r="AL114" s="30"/>
      <c r="AM114" s="37" t="str">
        <f aca="false">IF(AND(C114&lt;&gt;"",AH114&lt;&gt;"Closed",AH114&lt;&gt;"Void – logged in error",OR(AH114&lt;&gt;"",AD114&lt;&gt;"",AE114&lt;&gt;"",AF114&lt;&gt;"",AG114&lt;&gt;"")),ROW(),"")</f>
        <v/>
      </c>
    </row>
    <row r="115" customFormat="false" ht="30" hidden="false" customHeight="true" outlineLevel="0" collapsed="false">
      <c r="A115" s="28" t="str">
        <f aca="false">IF(C115="","","INC-"&amp;YEAR(C115)&amp;"-"&amp;TEXT(COUNTIFS($C$6:C115,"&gt;="&amp;DATE(YEAR(C115),1,1),$C$6:C115,"&lt;="&amp;DATE(YEAR(C115),12,31)),"000"))</f>
        <v/>
      </c>
      <c r="B115" s="29"/>
      <c r="C115" s="30"/>
      <c r="D115" s="31"/>
      <c r="E115" s="30"/>
      <c r="F115" s="29"/>
      <c r="G115" s="29"/>
      <c r="H115" s="29"/>
      <c r="I115" s="29"/>
      <c r="J115" s="29"/>
      <c r="K115" s="29"/>
      <c r="L115" s="29"/>
      <c r="M115" s="29"/>
      <c r="N115" s="29"/>
      <c r="O115" s="29"/>
      <c r="P115" s="29"/>
      <c r="Q115" s="32"/>
      <c r="R115" s="29"/>
      <c r="S115" s="29"/>
      <c r="T115" s="33" t="str">
        <f aca="false">IF(AH115="Void – logged in error","",IF(OR(C115="",S115=""),IF(C115="","","Decide"),IF(OR(S115="Not reportable",S115="Over-3-day injury (record only)"),"No","Yes")))</f>
        <v/>
      </c>
      <c r="U115" s="34" t="str">
        <f aca="false">IF(OR(C115="",S115=""),"",IF(S115="Over-7-day injury",C115+15,IF(OR(S115="Death",S115="Specified injury",S115="Member of public to hospital",S115="Dangerous occurrence"),C115+10,"")))</f>
        <v/>
      </c>
      <c r="V115" s="28" t="str">
        <f aca="true">IF(C115="","",IF(AH115="Void – logged in error","Void",IF(W115&lt;&gt;"","Done – reported",IF(S115="Occupational disease","REPORT NOW – on diagnosis",IF(ISNUMBER(U115),IF(U115&lt;TODAY(),"OVERDUE – report now",IF(U115=TODAY(),"DUE TODAY",IF(U115-TODAY()&lt;='Start here'!$C$7,"DUE in "&amp;(U115-TODAY())&amp;" days",IF(OR(S115="Death",S115="Specified injury",S115="Member of public to hospital",S115="Dangerous occurrence"),"REPORT without delay","Report by date shown")))),IF(AND(N(Q115)&gt;7,OR(S115="",S115="Not reportable",S115="Over-3-day injury (record only)")),"CHECK – over 7 days off",IF(S115="","Decide RIDDOR",IF(S115="Over-3-day injury (record only)","Record only","Not reportable"))))))))</f>
        <v/>
      </c>
      <c r="W115" s="30"/>
      <c r="X115" s="29"/>
      <c r="Y115" s="32"/>
      <c r="Z115" s="29"/>
      <c r="AA115" s="35"/>
      <c r="AB115" s="29"/>
      <c r="AC115" s="29"/>
      <c r="AD115" s="29"/>
      <c r="AE115" s="29"/>
      <c r="AF115" s="29"/>
      <c r="AG115" s="30"/>
      <c r="AH115" s="29"/>
      <c r="AI115" s="36" t="str">
        <f aca="true">IF(OR(C115="",AH115="Closed",AH115="Void – logged in error",AG115=""),"",IF(AG115&lt;TODAY(),"OVERDUE",IF(AG115-TODAY()&lt;='Start here'!$C$8,"Due soon","On track")))</f>
        <v/>
      </c>
      <c r="AJ115" s="29"/>
      <c r="AK115" s="29"/>
      <c r="AL115" s="30"/>
      <c r="AM115" s="37" t="str">
        <f aca="false">IF(AND(C115&lt;&gt;"",AH115&lt;&gt;"Closed",AH115&lt;&gt;"Void – logged in error",OR(AH115&lt;&gt;"",AD115&lt;&gt;"",AE115&lt;&gt;"",AF115&lt;&gt;"",AG115&lt;&gt;"")),ROW(),"")</f>
        <v/>
      </c>
    </row>
    <row r="116" customFormat="false" ht="30" hidden="false" customHeight="true" outlineLevel="0" collapsed="false">
      <c r="A116" s="28" t="str">
        <f aca="false">IF(C116="","","INC-"&amp;YEAR(C116)&amp;"-"&amp;TEXT(COUNTIFS($C$6:C116,"&gt;="&amp;DATE(YEAR(C116),1,1),$C$6:C116,"&lt;="&amp;DATE(YEAR(C116),12,31)),"000"))</f>
        <v/>
      </c>
      <c r="B116" s="29"/>
      <c r="C116" s="30"/>
      <c r="D116" s="31"/>
      <c r="E116" s="30"/>
      <c r="F116" s="29"/>
      <c r="G116" s="29"/>
      <c r="H116" s="29"/>
      <c r="I116" s="29"/>
      <c r="J116" s="29"/>
      <c r="K116" s="29"/>
      <c r="L116" s="29"/>
      <c r="M116" s="29"/>
      <c r="N116" s="29"/>
      <c r="O116" s="29"/>
      <c r="P116" s="29"/>
      <c r="Q116" s="32"/>
      <c r="R116" s="29"/>
      <c r="S116" s="29"/>
      <c r="T116" s="33" t="str">
        <f aca="false">IF(AH116="Void – logged in error","",IF(OR(C116="",S116=""),IF(C116="","","Decide"),IF(OR(S116="Not reportable",S116="Over-3-day injury (record only)"),"No","Yes")))</f>
        <v/>
      </c>
      <c r="U116" s="34" t="str">
        <f aca="false">IF(OR(C116="",S116=""),"",IF(S116="Over-7-day injury",C116+15,IF(OR(S116="Death",S116="Specified injury",S116="Member of public to hospital",S116="Dangerous occurrence"),C116+10,"")))</f>
        <v/>
      </c>
      <c r="V116" s="28" t="str">
        <f aca="true">IF(C116="","",IF(AH116="Void – logged in error","Void",IF(W116&lt;&gt;"","Done – reported",IF(S116="Occupational disease","REPORT NOW – on diagnosis",IF(ISNUMBER(U116),IF(U116&lt;TODAY(),"OVERDUE – report now",IF(U116=TODAY(),"DUE TODAY",IF(U116-TODAY()&lt;='Start here'!$C$7,"DUE in "&amp;(U116-TODAY())&amp;" days",IF(OR(S116="Death",S116="Specified injury",S116="Member of public to hospital",S116="Dangerous occurrence"),"REPORT without delay","Report by date shown")))),IF(AND(N(Q116)&gt;7,OR(S116="",S116="Not reportable",S116="Over-3-day injury (record only)")),"CHECK – over 7 days off",IF(S116="","Decide RIDDOR",IF(S116="Over-3-day injury (record only)","Record only","Not reportable"))))))))</f>
        <v/>
      </c>
      <c r="W116" s="30"/>
      <c r="X116" s="29"/>
      <c r="Y116" s="32"/>
      <c r="Z116" s="29"/>
      <c r="AA116" s="35"/>
      <c r="AB116" s="29"/>
      <c r="AC116" s="29"/>
      <c r="AD116" s="29"/>
      <c r="AE116" s="29"/>
      <c r="AF116" s="29"/>
      <c r="AG116" s="30"/>
      <c r="AH116" s="29"/>
      <c r="AI116" s="36" t="str">
        <f aca="true">IF(OR(C116="",AH116="Closed",AH116="Void – logged in error",AG116=""),"",IF(AG116&lt;TODAY(),"OVERDUE",IF(AG116-TODAY()&lt;='Start here'!$C$8,"Due soon","On track")))</f>
        <v/>
      </c>
      <c r="AJ116" s="29"/>
      <c r="AK116" s="29"/>
      <c r="AL116" s="30"/>
      <c r="AM116" s="37" t="str">
        <f aca="false">IF(AND(C116&lt;&gt;"",AH116&lt;&gt;"Closed",AH116&lt;&gt;"Void – logged in error",OR(AH116&lt;&gt;"",AD116&lt;&gt;"",AE116&lt;&gt;"",AF116&lt;&gt;"",AG116&lt;&gt;"")),ROW(),"")</f>
        <v/>
      </c>
    </row>
    <row r="117" customFormat="false" ht="30" hidden="false" customHeight="true" outlineLevel="0" collapsed="false">
      <c r="A117" s="28" t="str">
        <f aca="false">IF(C117="","","INC-"&amp;YEAR(C117)&amp;"-"&amp;TEXT(COUNTIFS($C$6:C117,"&gt;="&amp;DATE(YEAR(C117),1,1),$C$6:C117,"&lt;="&amp;DATE(YEAR(C117),12,31)),"000"))</f>
        <v/>
      </c>
      <c r="B117" s="29"/>
      <c r="C117" s="30"/>
      <c r="D117" s="31"/>
      <c r="E117" s="30"/>
      <c r="F117" s="29"/>
      <c r="G117" s="29"/>
      <c r="H117" s="29"/>
      <c r="I117" s="29"/>
      <c r="J117" s="29"/>
      <c r="K117" s="29"/>
      <c r="L117" s="29"/>
      <c r="M117" s="29"/>
      <c r="N117" s="29"/>
      <c r="O117" s="29"/>
      <c r="P117" s="29"/>
      <c r="Q117" s="32"/>
      <c r="R117" s="29"/>
      <c r="S117" s="29"/>
      <c r="T117" s="33" t="str">
        <f aca="false">IF(AH117="Void – logged in error","",IF(OR(C117="",S117=""),IF(C117="","","Decide"),IF(OR(S117="Not reportable",S117="Over-3-day injury (record only)"),"No","Yes")))</f>
        <v/>
      </c>
      <c r="U117" s="34" t="str">
        <f aca="false">IF(OR(C117="",S117=""),"",IF(S117="Over-7-day injury",C117+15,IF(OR(S117="Death",S117="Specified injury",S117="Member of public to hospital",S117="Dangerous occurrence"),C117+10,"")))</f>
        <v/>
      </c>
      <c r="V117" s="28" t="str">
        <f aca="true">IF(C117="","",IF(AH117="Void – logged in error","Void",IF(W117&lt;&gt;"","Done – reported",IF(S117="Occupational disease","REPORT NOW – on diagnosis",IF(ISNUMBER(U117),IF(U117&lt;TODAY(),"OVERDUE – report now",IF(U117=TODAY(),"DUE TODAY",IF(U117-TODAY()&lt;='Start here'!$C$7,"DUE in "&amp;(U117-TODAY())&amp;" days",IF(OR(S117="Death",S117="Specified injury",S117="Member of public to hospital",S117="Dangerous occurrence"),"REPORT without delay","Report by date shown")))),IF(AND(N(Q117)&gt;7,OR(S117="",S117="Not reportable",S117="Over-3-day injury (record only)")),"CHECK – over 7 days off",IF(S117="","Decide RIDDOR",IF(S117="Over-3-day injury (record only)","Record only","Not reportable"))))))))</f>
        <v/>
      </c>
      <c r="W117" s="30"/>
      <c r="X117" s="29"/>
      <c r="Y117" s="32"/>
      <c r="Z117" s="29"/>
      <c r="AA117" s="35"/>
      <c r="AB117" s="29"/>
      <c r="AC117" s="29"/>
      <c r="AD117" s="29"/>
      <c r="AE117" s="29"/>
      <c r="AF117" s="29"/>
      <c r="AG117" s="30"/>
      <c r="AH117" s="29"/>
      <c r="AI117" s="36" t="str">
        <f aca="true">IF(OR(C117="",AH117="Closed",AH117="Void – logged in error",AG117=""),"",IF(AG117&lt;TODAY(),"OVERDUE",IF(AG117-TODAY()&lt;='Start here'!$C$8,"Due soon","On track")))</f>
        <v/>
      </c>
      <c r="AJ117" s="29"/>
      <c r="AK117" s="29"/>
      <c r="AL117" s="30"/>
      <c r="AM117" s="37" t="str">
        <f aca="false">IF(AND(C117&lt;&gt;"",AH117&lt;&gt;"Closed",AH117&lt;&gt;"Void – logged in error",OR(AH117&lt;&gt;"",AD117&lt;&gt;"",AE117&lt;&gt;"",AF117&lt;&gt;"",AG117&lt;&gt;"")),ROW(),"")</f>
        <v/>
      </c>
    </row>
    <row r="118" customFormat="false" ht="30" hidden="false" customHeight="true" outlineLevel="0" collapsed="false">
      <c r="A118" s="28" t="str">
        <f aca="false">IF(C118="","","INC-"&amp;YEAR(C118)&amp;"-"&amp;TEXT(COUNTIFS($C$6:C118,"&gt;="&amp;DATE(YEAR(C118),1,1),$C$6:C118,"&lt;="&amp;DATE(YEAR(C118),12,31)),"000"))</f>
        <v/>
      </c>
      <c r="B118" s="29"/>
      <c r="C118" s="30"/>
      <c r="D118" s="31"/>
      <c r="E118" s="30"/>
      <c r="F118" s="29"/>
      <c r="G118" s="29"/>
      <c r="H118" s="29"/>
      <c r="I118" s="29"/>
      <c r="J118" s="29"/>
      <c r="K118" s="29"/>
      <c r="L118" s="29"/>
      <c r="M118" s="29"/>
      <c r="N118" s="29"/>
      <c r="O118" s="29"/>
      <c r="P118" s="29"/>
      <c r="Q118" s="32"/>
      <c r="R118" s="29"/>
      <c r="S118" s="29"/>
      <c r="T118" s="33" t="str">
        <f aca="false">IF(AH118="Void – logged in error","",IF(OR(C118="",S118=""),IF(C118="","","Decide"),IF(OR(S118="Not reportable",S118="Over-3-day injury (record only)"),"No","Yes")))</f>
        <v/>
      </c>
      <c r="U118" s="34" t="str">
        <f aca="false">IF(OR(C118="",S118=""),"",IF(S118="Over-7-day injury",C118+15,IF(OR(S118="Death",S118="Specified injury",S118="Member of public to hospital",S118="Dangerous occurrence"),C118+10,"")))</f>
        <v/>
      </c>
      <c r="V118" s="28" t="str">
        <f aca="true">IF(C118="","",IF(AH118="Void – logged in error","Void",IF(W118&lt;&gt;"","Done – reported",IF(S118="Occupational disease","REPORT NOW – on diagnosis",IF(ISNUMBER(U118),IF(U118&lt;TODAY(),"OVERDUE – report now",IF(U118=TODAY(),"DUE TODAY",IF(U118-TODAY()&lt;='Start here'!$C$7,"DUE in "&amp;(U118-TODAY())&amp;" days",IF(OR(S118="Death",S118="Specified injury",S118="Member of public to hospital",S118="Dangerous occurrence"),"REPORT without delay","Report by date shown")))),IF(AND(N(Q118)&gt;7,OR(S118="",S118="Not reportable",S118="Over-3-day injury (record only)")),"CHECK – over 7 days off",IF(S118="","Decide RIDDOR",IF(S118="Over-3-day injury (record only)","Record only","Not reportable"))))))))</f>
        <v/>
      </c>
      <c r="W118" s="30"/>
      <c r="X118" s="29"/>
      <c r="Y118" s="32"/>
      <c r="Z118" s="29"/>
      <c r="AA118" s="35"/>
      <c r="AB118" s="29"/>
      <c r="AC118" s="29"/>
      <c r="AD118" s="29"/>
      <c r="AE118" s="29"/>
      <c r="AF118" s="29"/>
      <c r="AG118" s="30"/>
      <c r="AH118" s="29"/>
      <c r="AI118" s="36" t="str">
        <f aca="true">IF(OR(C118="",AH118="Closed",AH118="Void – logged in error",AG118=""),"",IF(AG118&lt;TODAY(),"OVERDUE",IF(AG118-TODAY()&lt;='Start here'!$C$8,"Due soon","On track")))</f>
        <v/>
      </c>
      <c r="AJ118" s="29"/>
      <c r="AK118" s="29"/>
      <c r="AL118" s="30"/>
      <c r="AM118" s="37" t="str">
        <f aca="false">IF(AND(C118&lt;&gt;"",AH118&lt;&gt;"Closed",AH118&lt;&gt;"Void – logged in error",OR(AH118&lt;&gt;"",AD118&lt;&gt;"",AE118&lt;&gt;"",AF118&lt;&gt;"",AG118&lt;&gt;"")),ROW(),"")</f>
        <v/>
      </c>
    </row>
    <row r="119" customFormat="false" ht="30" hidden="false" customHeight="true" outlineLevel="0" collapsed="false">
      <c r="A119" s="28" t="str">
        <f aca="false">IF(C119="","","INC-"&amp;YEAR(C119)&amp;"-"&amp;TEXT(COUNTIFS($C$6:C119,"&gt;="&amp;DATE(YEAR(C119),1,1),$C$6:C119,"&lt;="&amp;DATE(YEAR(C119),12,31)),"000"))</f>
        <v/>
      </c>
      <c r="B119" s="29"/>
      <c r="C119" s="30"/>
      <c r="D119" s="31"/>
      <c r="E119" s="30"/>
      <c r="F119" s="29"/>
      <c r="G119" s="29"/>
      <c r="H119" s="29"/>
      <c r="I119" s="29"/>
      <c r="J119" s="29"/>
      <c r="K119" s="29"/>
      <c r="L119" s="29"/>
      <c r="M119" s="29"/>
      <c r="N119" s="29"/>
      <c r="O119" s="29"/>
      <c r="P119" s="29"/>
      <c r="Q119" s="32"/>
      <c r="R119" s="29"/>
      <c r="S119" s="29"/>
      <c r="T119" s="33" t="str">
        <f aca="false">IF(AH119="Void – logged in error","",IF(OR(C119="",S119=""),IF(C119="","","Decide"),IF(OR(S119="Not reportable",S119="Over-3-day injury (record only)"),"No","Yes")))</f>
        <v/>
      </c>
      <c r="U119" s="34" t="str">
        <f aca="false">IF(OR(C119="",S119=""),"",IF(S119="Over-7-day injury",C119+15,IF(OR(S119="Death",S119="Specified injury",S119="Member of public to hospital",S119="Dangerous occurrence"),C119+10,"")))</f>
        <v/>
      </c>
      <c r="V119" s="28" t="str">
        <f aca="true">IF(C119="","",IF(AH119="Void – logged in error","Void",IF(W119&lt;&gt;"","Done – reported",IF(S119="Occupational disease","REPORT NOW – on diagnosis",IF(ISNUMBER(U119),IF(U119&lt;TODAY(),"OVERDUE – report now",IF(U119=TODAY(),"DUE TODAY",IF(U119-TODAY()&lt;='Start here'!$C$7,"DUE in "&amp;(U119-TODAY())&amp;" days",IF(OR(S119="Death",S119="Specified injury",S119="Member of public to hospital",S119="Dangerous occurrence"),"REPORT without delay","Report by date shown")))),IF(AND(N(Q119)&gt;7,OR(S119="",S119="Not reportable",S119="Over-3-day injury (record only)")),"CHECK – over 7 days off",IF(S119="","Decide RIDDOR",IF(S119="Over-3-day injury (record only)","Record only","Not reportable"))))))))</f>
        <v/>
      </c>
      <c r="W119" s="30"/>
      <c r="X119" s="29"/>
      <c r="Y119" s="32"/>
      <c r="Z119" s="29"/>
      <c r="AA119" s="35"/>
      <c r="AB119" s="29"/>
      <c r="AC119" s="29"/>
      <c r="AD119" s="29"/>
      <c r="AE119" s="29"/>
      <c r="AF119" s="29"/>
      <c r="AG119" s="30"/>
      <c r="AH119" s="29"/>
      <c r="AI119" s="36" t="str">
        <f aca="true">IF(OR(C119="",AH119="Closed",AH119="Void – logged in error",AG119=""),"",IF(AG119&lt;TODAY(),"OVERDUE",IF(AG119-TODAY()&lt;='Start here'!$C$8,"Due soon","On track")))</f>
        <v/>
      </c>
      <c r="AJ119" s="29"/>
      <c r="AK119" s="29"/>
      <c r="AL119" s="30"/>
      <c r="AM119" s="37" t="str">
        <f aca="false">IF(AND(C119&lt;&gt;"",AH119&lt;&gt;"Closed",AH119&lt;&gt;"Void – logged in error",OR(AH119&lt;&gt;"",AD119&lt;&gt;"",AE119&lt;&gt;"",AF119&lt;&gt;"",AG119&lt;&gt;"")),ROW(),"")</f>
        <v/>
      </c>
    </row>
    <row r="120" customFormat="false" ht="30" hidden="false" customHeight="true" outlineLevel="0" collapsed="false">
      <c r="A120" s="28" t="str">
        <f aca="false">IF(C120="","","INC-"&amp;YEAR(C120)&amp;"-"&amp;TEXT(COUNTIFS($C$6:C120,"&gt;="&amp;DATE(YEAR(C120),1,1),$C$6:C120,"&lt;="&amp;DATE(YEAR(C120),12,31)),"000"))</f>
        <v/>
      </c>
      <c r="B120" s="29"/>
      <c r="C120" s="30"/>
      <c r="D120" s="31"/>
      <c r="E120" s="30"/>
      <c r="F120" s="29"/>
      <c r="G120" s="29"/>
      <c r="H120" s="29"/>
      <c r="I120" s="29"/>
      <c r="J120" s="29"/>
      <c r="K120" s="29"/>
      <c r="L120" s="29"/>
      <c r="M120" s="29"/>
      <c r="N120" s="29"/>
      <c r="O120" s="29"/>
      <c r="P120" s="29"/>
      <c r="Q120" s="32"/>
      <c r="R120" s="29"/>
      <c r="S120" s="29"/>
      <c r="T120" s="33" t="str">
        <f aca="false">IF(AH120="Void – logged in error","",IF(OR(C120="",S120=""),IF(C120="","","Decide"),IF(OR(S120="Not reportable",S120="Over-3-day injury (record only)"),"No","Yes")))</f>
        <v/>
      </c>
      <c r="U120" s="34" t="str">
        <f aca="false">IF(OR(C120="",S120=""),"",IF(S120="Over-7-day injury",C120+15,IF(OR(S120="Death",S120="Specified injury",S120="Member of public to hospital",S120="Dangerous occurrence"),C120+10,"")))</f>
        <v/>
      </c>
      <c r="V120" s="28" t="str">
        <f aca="true">IF(C120="","",IF(AH120="Void – logged in error","Void",IF(W120&lt;&gt;"","Done – reported",IF(S120="Occupational disease","REPORT NOW – on diagnosis",IF(ISNUMBER(U120),IF(U120&lt;TODAY(),"OVERDUE – report now",IF(U120=TODAY(),"DUE TODAY",IF(U120-TODAY()&lt;='Start here'!$C$7,"DUE in "&amp;(U120-TODAY())&amp;" days",IF(OR(S120="Death",S120="Specified injury",S120="Member of public to hospital",S120="Dangerous occurrence"),"REPORT without delay","Report by date shown")))),IF(AND(N(Q120)&gt;7,OR(S120="",S120="Not reportable",S120="Over-3-day injury (record only)")),"CHECK – over 7 days off",IF(S120="","Decide RIDDOR",IF(S120="Over-3-day injury (record only)","Record only","Not reportable"))))))))</f>
        <v/>
      </c>
      <c r="W120" s="30"/>
      <c r="X120" s="29"/>
      <c r="Y120" s="32"/>
      <c r="Z120" s="29"/>
      <c r="AA120" s="35"/>
      <c r="AB120" s="29"/>
      <c r="AC120" s="29"/>
      <c r="AD120" s="29"/>
      <c r="AE120" s="29"/>
      <c r="AF120" s="29"/>
      <c r="AG120" s="30"/>
      <c r="AH120" s="29"/>
      <c r="AI120" s="36" t="str">
        <f aca="true">IF(OR(C120="",AH120="Closed",AH120="Void – logged in error",AG120=""),"",IF(AG120&lt;TODAY(),"OVERDUE",IF(AG120-TODAY()&lt;='Start here'!$C$8,"Due soon","On track")))</f>
        <v/>
      </c>
      <c r="AJ120" s="29"/>
      <c r="AK120" s="29"/>
      <c r="AL120" s="30"/>
      <c r="AM120" s="37" t="str">
        <f aca="false">IF(AND(C120&lt;&gt;"",AH120&lt;&gt;"Closed",AH120&lt;&gt;"Void – logged in error",OR(AH120&lt;&gt;"",AD120&lt;&gt;"",AE120&lt;&gt;"",AF120&lt;&gt;"",AG120&lt;&gt;"")),ROW(),"")</f>
        <v/>
      </c>
    </row>
    <row r="121" customFormat="false" ht="30" hidden="false" customHeight="true" outlineLevel="0" collapsed="false">
      <c r="A121" s="28" t="str">
        <f aca="false">IF(C121="","","INC-"&amp;YEAR(C121)&amp;"-"&amp;TEXT(COUNTIFS($C$6:C121,"&gt;="&amp;DATE(YEAR(C121),1,1),$C$6:C121,"&lt;="&amp;DATE(YEAR(C121),12,31)),"000"))</f>
        <v/>
      </c>
      <c r="B121" s="29"/>
      <c r="C121" s="30"/>
      <c r="D121" s="31"/>
      <c r="E121" s="30"/>
      <c r="F121" s="29"/>
      <c r="G121" s="29"/>
      <c r="H121" s="29"/>
      <c r="I121" s="29"/>
      <c r="J121" s="29"/>
      <c r="K121" s="29"/>
      <c r="L121" s="29"/>
      <c r="M121" s="29"/>
      <c r="N121" s="29"/>
      <c r="O121" s="29"/>
      <c r="P121" s="29"/>
      <c r="Q121" s="32"/>
      <c r="R121" s="29"/>
      <c r="S121" s="29"/>
      <c r="T121" s="33" t="str">
        <f aca="false">IF(AH121="Void – logged in error","",IF(OR(C121="",S121=""),IF(C121="","","Decide"),IF(OR(S121="Not reportable",S121="Over-3-day injury (record only)"),"No","Yes")))</f>
        <v/>
      </c>
      <c r="U121" s="34" t="str">
        <f aca="false">IF(OR(C121="",S121=""),"",IF(S121="Over-7-day injury",C121+15,IF(OR(S121="Death",S121="Specified injury",S121="Member of public to hospital",S121="Dangerous occurrence"),C121+10,"")))</f>
        <v/>
      </c>
      <c r="V121" s="28" t="str">
        <f aca="true">IF(C121="","",IF(AH121="Void – logged in error","Void",IF(W121&lt;&gt;"","Done – reported",IF(S121="Occupational disease","REPORT NOW – on diagnosis",IF(ISNUMBER(U121),IF(U121&lt;TODAY(),"OVERDUE – report now",IF(U121=TODAY(),"DUE TODAY",IF(U121-TODAY()&lt;='Start here'!$C$7,"DUE in "&amp;(U121-TODAY())&amp;" days",IF(OR(S121="Death",S121="Specified injury",S121="Member of public to hospital",S121="Dangerous occurrence"),"REPORT without delay","Report by date shown")))),IF(AND(N(Q121)&gt;7,OR(S121="",S121="Not reportable",S121="Over-3-day injury (record only)")),"CHECK – over 7 days off",IF(S121="","Decide RIDDOR",IF(S121="Over-3-day injury (record only)","Record only","Not reportable"))))))))</f>
        <v/>
      </c>
      <c r="W121" s="30"/>
      <c r="X121" s="29"/>
      <c r="Y121" s="32"/>
      <c r="Z121" s="29"/>
      <c r="AA121" s="35"/>
      <c r="AB121" s="29"/>
      <c r="AC121" s="29"/>
      <c r="AD121" s="29"/>
      <c r="AE121" s="29"/>
      <c r="AF121" s="29"/>
      <c r="AG121" s="30"/>
      <c r="AH121" s="29"/>
      <c r="AI121" s="36" t="str">
        <f aca="true">IF(OR(C121="",AH121="Closed",AH121="Void – logged in error",AG121=""),"",IF(AG121&lt;TODAY(),"OVERDUE",IF(AG121-TODAY()&lt;='Start here'!$C$8,"Due soon","On track")))</f>
        <v/>
      </c>
      <c r="AJ121" s="29"/>
      <c r="AK121" s="29"/>
      <c r="AL121" s="30"/>
      <c r="AM121" s="37" t="str">
        <f aca="false">IF(AND(C121&lt;&gt;"",AH121&lt;&gt;"Closed",AH121&lt;&gt;"Void – logged in error",OR(AH121&lt;&gt;"",AD121&lt;&gt;"",AE121&lt;&gt;"",AF121&lt;&gt;"",AG121&lt;&gt;"")),ROW(),"")</f>
        <v/>
      </c>
    </row>
    <row r="122" customFormat="false" ht="30" hidden="false" customHeight="true" outlineLevel="0" collapsed="false">
      <c r="A122" s="28" t="str">
        <f aca="false">IF(C122="","","INC-"&amp;YEAR(C122)&amp;"-"&amp;TEXT(COUNTIFS($C$6:C122,"&gt;="&amp;DATE(YEAR(C122),1,1),$C$6:C122,"&lt;="&amp;DATE(YEAR(C122),12,31)),"000"))</f>
        <v/>
      </c>
      <c r="B122" s="29"/>
      <c r="C122" s="30"/>
      <c r="D122" s="31"/>
      <c r="E122" s="30"/>
      <c r="F122" s="29"/>
      <c r="G122" s="29"/>
      <c r="H122" s="29"/>
      <c r="I122" s="29"/>
      <c r="J122" s="29"/>
      <c r="K122" s="29"/>
      <c r="L122" s="29"/>
      <c r="M122" s="29"/>
      <c r="N122" s="29"/>
      <c r="O122" s="29"/>
      <c r="P122" s="29"/>
      <c r="Q122" s="32"/>
      <c r="R122" s="29"/>
      <c r="S122" s="29"/>
      <c r="T122" s="33" t="str">
        <f aca="false">IF(AH122="Void – logged in error","",IF(OR(C122="",S122=""),IF(C122="","","Decide"),IF(OR(S122="Not reportable",S122="Over-3-day injury (record only)"),"No","Yes")))</f>
        <v/>
      </c>
      <c r="U122" s="34" t="str">
        <f aca="false">IF(OR(C122="",S122=""),"",IF(S122="Over-7-day injury",C122+15,IF(OR(S122="Death",S122="Specified injury",S122="Member of public to hospital",S122="Dangerous occurrence"),C122+10,"")))</f>
        <v/>
      </c>
      <c r="V122" s="28" t="str">
        <f aca="true">IF(C122="","",IF(AH122="Void – logged in error","Void",IF(W122&lt;&gt;"","Done – reported",IF(S122="Occupational disease","REPORT NOW – on diagnosis",IF(ISNUMBER(U122),IF(U122&lt;TODAY(),"OVERDUE – report now",IF(U122=TODAY(),"DUE TODAY",IF(U122-TODAY()&lt;='Start here'!$C$7,"DUE in "&amp;(U122-TODAY())&amp;" days",IF(OR(S122="Death",S122="Specified injury",S122="Member of public to hospital",S122="Dangerous occurrence"),"REPORT without delay","Report by date shown")))),IF(AND(N(Q122)&gt;7,OR(S122="",S122="Not reportable",S122="Over-3-day injury (record only)")),"CHECK – over 7 days off",IF(S122="","Decide RIDDOR",IF(S122="Over-3-day injury (record only)","Record only","Not reportable"))))))))</f>
        <v/>
      </c>
      <c r="W122" s="30"/>
      <c r="X122" s="29"/>
      <c r="Y122" s="32"/>
      <c r="Z122" s="29"/>
      <c r="AA122" s="35"/>
      <c r="AB122" s="29"/>
      <c r="AC122" s="29"/>
      <c r="AD122" s="29"/>
      <c r="AE122" s="29"/>
      <c r="AF122" s="29"/>
      <c r="AG122" s="30"/>
      <c r="AH122" s="29"/>
      <c r="AI122" s="36" t="str">
        <f aca="true">IF(OR(C122="",AH122="Closed",AH122="Void – logged in error",AG122=""),"",IF(AG122&lt;TODAY(),"OVERDUE",IF(AG122-TODAY()&lt;='Start here'!$C$8,"Due soon","On track")))</f>
        <v/>
      </c>
      <c r="AJ122" s="29"/>
      <c r="AK122" s="29"/>
      <c r="AL122" s="30"/>
      <c r="AM122" s="37" t="str">
        <f aca="false">IF(AND(C122&lt;&gt;"",AH122&lt;&gt;"Closed",AH122&lt;&gt;"Void – logged in error",OR(AH122&lt;&gt;"",AD122&lt;&gt;"",AE122&lt;&gt;"",AF122&lt;&gt;"",AG122&lt;&gt;"")),ROW(),"")</f>
        <v/>
      </c>
    </row>
    <row r="123" customFormat="false" ht="30" hidden="false" customHeight="true" outlineLevel="0" collapsed="false">
      <c r="A123" s="28" t="str">
        <f aca="false">IF(C123="","","INC-"&amp;YEAR(C123)&amp;"-"&amp;TEXT(COUNTIFS($C$6:C123,"&gt;="&amp;DATE(YEAR(C123),1,1),$C$6:C123,"&lt;="&amp;DATE(YEAR(C123),12,31)),"000"))</f>
        <v/>
      </c>
      <c r="B123" s="29"/>
      <c r="C123" s="30"/>
      <c r="D123" s="31"/>
      <c r="E123" s="30"/>
      <c r="F123" s="29"/>
      <c r="G123" s="29"/>
      <c r="H123" s="29"/>
      <c r="I123" s="29"/>
      <c r="J123" s="29"/>
      <c r="K123" s="29"/>
      <c r="L123" s="29"/>
      <c r="M123" s="29"/>
      <c r="N123" s="29"/>
      <c r="O123" s="29"/>
      <c r="P123" s="29"/>
      <c r="Q123" s="32"/>
      <c r="R123" s="29"/>
      <c r="S123" s="29"/>
      <c r="T123" s="33" t="str">
        <f aca="false">IF(AH123="Void – logged in error","",IF(OR(C123="",S123=""),IF(C123="","","Decide"),IF(OR(S123="Not reportable",S123="Over-3-day injury (record only)"),"No","Yes")))</f>
        <v/>
      </c>
      <c r="U123" s="34" t="str">
        <f aca="false">IF(OR(C123="",S123=""),"",IF(S123="Over-7-day injury",C123+15,IF(OR(S123="Death",S123="Specified injury",S123="Member of public to hospital",S123="Dangerous occurrence"),C123+10,"")))</f>
        <v/>
      </c>
      <c r="V123" s="28" t="str">
        <f aca="true">IF(C123="","",IF(AH123="Void – logged in error","Void",IF(W123&lt;&gt;"","Done – reported",IF(S123="Occupational disease","REPORT NOW – on diagnosis",IF(ISNUMBER(U123),IF(U123&lt;TODAY(),"OVERDUE – report now",IF(U123=TODAY(),"DUE TODAY",IF(U123-TODAY()&lt;='Start here'!$C$7,"DUE in "&amp;(U123-TODAY())&amp;" days",IF(OR(S123="Death",S123="Specified injury",S123="Member of public to hospital",S123="Dangerous occurrence"),"REPORT without delay","Report by date shown")))),IF(AND(N(Q123)&gt;7,OR(S123="",S123="Not reportable",S123="Over-3-day injury (record only)")),"CHECK – over 7 days off",IF(S123="","Decide RIDDOR",IF(S123="Over-3-day injury (record only)","Record only","Not reportable"))))))))</f>
        <v/>
      </c>
      <c r="W123" s="30"/>
      <c r="X123" s="29"/>
      <c r="Y123" s="32"/>
      <c r="Z123" s="29"/>
      <c r="AA123" s="35"/>
      <c r="AB123" s="29"/>
      <c r="AC123" s="29"/>
      <c r="AD123" s="29"/>
      <c r="AE123" s="29"/>
      <c r="AF123" s="29"/>
      <c r="AG123" s="30"/>
      <c r="AH123" s="29"/>
      <c r="AI123" s="36" t="str">
        <f aca="true">IF(OR(C123="",AH123="Closed",AH123="Void – logged in error",AG123=""),"",IF(AG123&lt;TODAY(),"OVERDUE",IF(AG123-TODAY()&lt;='Start here'!$C$8,"Due soon","On track")))</f>
        <v/>
      </c>
      <c r="AJ123" s="29"/>
      <c r="AK123" s="29"/>
      <c r="AL123" s="30"/>
      <c r="AM123" s="37" t="str">
        <f aca="false">IF(AND(C123&lt;&gt;"",AH123&lt;&gt;"Closed",AH123&lt;&gt;"Void – logged in error",OR(AH123&lt;&gt;"",AD123&lt;&gt;"",AE123&lt;&gt;"",AF123&lt;&gt;"",AG123&lt;&gt;"")),ROW(),"")</f>
        <v/>
      </c>
    </row>
    <row r="124" customFormat="false" ht="30" hidden="false" customHeight="true" outlineLevel="0" collapsed="false">
      <c r="A124" s="28" t="str">
        <f aca="false">IF(C124="","","INC-"&amp;YEAR(C124)&amp;"-"&amp;TEXT(COUNTIFS($C$6:C124,"&gt;="&amp;DATE(YEAR(C124),1,1),$C$6:C124,"&lt;="&amp;DATE(YEAR(C124),12,31)),"000"))</f>
        <v/>
      </c>
      <c r="B124" s="29"/>
      <c r="C124" s="30"/>
      <c r="D124" s="31"/>
      <c r="E124" s="30"/>
      <c r="F124" s="29"/>
      <c r="G124" s="29"/>
      <c r="H124" s="29"/>
      <c r="I124" s="29"/>
      <c r="J124" s="29"/>
      <c r="K124" s="29"/>
      <c r="L124" s="29"/>
      <c r="M124" s="29"/>
      <c r="N124" s="29"/>
      <c r="O124" s="29"/>
      <c r="P124" s="29"/>
      <c r="Q124" s="32"/>
      <c r="R124" s="29"/>
      <c r="S124" s="29"/>
      <c r="T124" s="33" t="str">
        <f aca="false">IF(AH124="Void – logged in error","",IF(OR(C124="",S124=""),IF(C124="","","Decide"),IF(OR(S124="Not reportable",S124="Over-3-day injury (record only)"),"No","Yes")))</f>
        <v/>
      </c>
      <c r="U124" s="34" t="str">
        <f aca="false">IF(OR(C124="",S124=""),"",IF(S124="Over-7-day injury",C124+15,IF(OR(S124="Death",S124="Specified injury",S124="Member of public to hospital",S124="Dangerous occurrence"),C124+10,"")))</f>
        <v/>
      </c>
      <c r="V124" s="28" t="str">
        <f aca="true">IF(C124="","",IF(AH124="Void – logged in error","Void",IF(W124&lt;&gt;"","Done – reported",IF(S124="Occupational disease","REPORT NOW – on diagnosis",IF(ISNUMBER(U124),IF(U124&lt;TODAY(),"OVERDUE – report now",IF(U124=TODAY(),"DUE TODAY",IF(U124-TODAY()&lt;='Start here'!$C$7,"DUE in "&amp;(U124-TODAY())&amp;" days",IF(OR(S124="Death",S124="Specified injury",S124="Member of public to hospital",S124="Dangerous occurrence"),"REPORT without delay","Report by date shown")))),IF(AND(N(Q124)&gt;7,OR(S124="",S124="Not reportable",S124="Over-3-day injury (record only)")),"CHECK – over 7 days off",IF(S124="","Decide RIDDOR",IF(S124="Over-3-day injury (record only)","Record only","Not reportable"))))))))</f>
        <v/>
      </c>
      <c r="W124" s="30"/>
      <c r="X124" s="29"/>
      <c r="Y124" s="32"/>
      <c r="Z124" s="29"/>
      <c r="AA124" s="35"/>
      <c r="AB124" s="29"/>
      <c r="AC124" s="29"/>
      <c r="AD124" s="29"/>
      <c r="AE124" s="29"/>
      <c r="AF124" s="29"/>
      <c r="AG124" s="30"/>
      <c r="AH124" s="29"/>
      <c r="AI124" s="36" t="str">
        <f aca="true">IF(OR(C124="",AH124="Closed",AH124="Void – logged in error",AG124=""),"",IF(AG124&lt;TODAY(),"OVERDUE",IF(AG124-TODAY()&lt;='Start here'!$C$8,"Due soon","On track")))</f>
        <v/>
      </c>
      <c r="AJ124" s="29"/>
      <c r="AK124" s="29"/>
      <c r="AL124" s="30"/>
      <c r="AM124" s="37" t="str">
        <f aca="false">IF(AND(C124&lt;&gt;"",AH124&lt;&gt;"Closed",AH124&lt;&gt;"Void – logged in error",OR(AH124&lt;&gt;"",AD124&lt;&gt;"",AE124&lt;&gt;"",AF124&lt;&gt;"",AG124&lt;&gt;"")),ROW(),"")</f>
        <v/>
      </c>
    </row>
    <row r="125" customFormat="false" ht="30" hidden="false" customHeight="true" outlineLevel="0" collapsed="false">
      <c r="A125" s="28" t="str">
        <f aca="false">IF(C125="","","INC-"&amp;YEAR(C125)&amp;"-"&amp;TEXT(COUNTIFS($C$6:C125,"&gt;="&amp;DATE(YEAR(C125),1,1),$C$6:C125,"&lt;="&amp;DATE(YEAR(C125),12,31)),"000"))</f>
        <v/>
      </c>
      <c r="B125" s="29"/>
      <c r="C125" s="30"/>
      <c r="D125" s="31"/>
      <c r="E125" s="30"/>
      <c r="F125" s="29"/>
      <c r="G125" s="29"/>
      <c r="H125" s="29"/>
      <c r="I125" s="29"/>
      <c r="J125" s="29"/>
      <c r="K125" s="29"/>
      <c r="L125" s="29"/>
      <c r="M125" s="29"/>
      <c r="N125" s="29"/>
      <c r="O125" s="29"/>
      <c r="P125" s="29"/>
      <c r="Q125" s="32"/>
      <c r="R125" s="29"/>
      <c r="S125" s="29"/>
      <c r="T125" s="33" t="str">
        <f aca="false">IF(AH125="Void – logged in error","",IF(OR(C125="",S125=""),IF(C125="","","Decide"),IF(OR(S125="Not reportable",S125="Over-3-day injury (record only)"),"No","Yes")))</f>
        <v/>
      </c>
      <c r="U125" s="34" t="str">
        <f aca="false">IF(OR(C125="",S125=""),"",IF(S125="Over-7-day injury",C125+15,IF(OR(S125="Death",S125="Specified injury",S125="Member of public to hospital",S125="Dangerous occurrence"),C125+10,"")))</f>
        <v/>
      </c>
      <c r="V125" s="28" t="str">
        <f aca="true">IF(C125="","",IF(AH125="Void – logged in error","Void",IF(W125&lt;&gt;"","Done – reported",IF(S125="Occupational disease","REPORT NOW – on diagnosis",IF(ISNUMBER(U125),IF(U125&lt;TODAY(),"OVERDUE – report now",IF(U125=TODAY(),"DUE TODAY",IF(U125-TODAY()&lt;='Start here'!$C$7,"DUE in "&amp;(U125-TODAY())&amp;" days",IF(OR(S125="Death",S125="Specified injury",S125="Member of public to hospital",S125="Dangerous occurrence"),"REPORT without delay","Report by date shown")))),IF(AND(N(Q125)&gt;7,OR(S125="",S125="Not reportable",S125="Over-3-day injury (record only)")),"CHECK – over 7 days off",IF(S125="","Decide RIDDOR",IF(S125="Over-3-day injury (record only)","Record only","Not reportable"))))))))</f>
        <v/>
      </c>
      <c r="W125" s="30"/>
      <c r="X125" s="29"/>
      <c r="Y125" s="32"/>
      <c r="Z125" s="29"/>
      <c r="AA125" s="35"/>
      <c r="AB125" s="29"/>
      <c r="AC125" s="29"/>
      <c r="AD125" s="29"/>
      <c r="AE125" s="29"/>
      <c r="AF125" s="29"/>
      <c r="AG125" s="30"/>
      <c r="AH125" s="29"/>
      <c r="AI125" s="36" t="str">
        <f aca="true">IF(OR(C125="",AH125="Closed",AH125="Void – logged in error",AG125=""),"",IF(AG125&lt;TODAY(),"OVERDUE",IF(AG125-TODAY()&lt;='Start here'!$C$8,"Due soon","On track")))</f>
        <v/>
      </c>
      <c r="AJ125" s="29"/>
      <c r="AK125" s="29"/>
      <c r="AL125" s="30"/>
      <c r="AM125" s="37" t="str">
        <f aca="false">IF(AND(C125&lt;&gt;"",AH125&lt;&gt;"Closed",AH125&lt;&gt;"Void – logged in error",OR(AH125&lt;&gt;"",AD125&lt;&gt;"",AE125&lt;&gt;"",AF125&lt;&gt;"",AG125&lt;&gt;"")),ROW(),"")</f>
        <v/>
      </c>
    </row>
    <row r="126" customFormat="false" ht="30" hidden="false" customHeight="true" outlineLevel="0" collapsed="false">
      <c r="A126" s="28" t="str">
        <f aca="false">IF(C126="","","INC-"&amp;YEAR(C126)&amp;"-"&amp;TEXT(COUNTIFS($C$6:C126,"&gt;="&amp;DATE(YEAR(C126),1,1),$C$6:C126,"&lt;="&amp;DATE(YEAR(C126),12,31)),"000"))</f>
        <v/>
      </c>
      <c r="B126" s="29"/>
      <c r="C126" s="30"/>
      <c r="D126" s="31"/>
      <c r="E126" s="30"/>
      <c r="F126" s="29"/>
      <c r="G126" s="29"/>
      <c r="H126" s="29"/>
      <c r="I126" s="29"/>
      <c r="J126" s="29"/>
      <c r="K126" s="29"/>
      <c r="L126" s="29"/>
      <c r="M126" s="29"/>
      <c r="N126" s="29"/>
      <c r="O126" s="29"/>
      <c r="P126" s="29"/>
      <c r="Q126" s="32"/>
      <c r="R126" s="29"/>
      <c r="S126" s="29"/>
      <c r="T126" s="33" t="str">
        <f aca="false">IF(AH126="Void – logged in error","",IF(OR(C126="",S126=""),IF(C126="","","Decide"),IF(OR(S126="Not reportable",S126="Over-3-day injury (record only)"),"No","Yes")))</f>
        <v/>
      </c>
      <c r="U126" s="34" t="str">
        <f aca="false">IF(OR(C126="",S126=""),"",IF(S126="Over-7-day injury",C126+15,IF(OR(S126="Death",S126="Specified injury",S126="Member of public to hospital",S126="Dangerous occurrence"),C126+10,"")))</f>
        <v/>
      </c>
      <c r="V126" s="28" t="str">
        <f aca="true">IF(C126="","",IF(AH126="Void – logged in error","Void",IF(W126&lt;&gt;"","Done – reported",IF(S126="Occupational disease","REPORT NOW – on diagnosis",IF(ISNUMBER(U126),IF(U126&lt;TODAY(),"OVERDUE – report now",IF(U126=TODAY(),"DUE TODAY",IF(U126-TODAY()&lt;='Start here'!$C$7,"DUE in "&amp;(U126-TODAY())&amp;" days",IF(OR(S126="Death",S126="Specified injury",S126="Member of public to hospital",S126="Dangerous occurrence"),"REPORT without delay","Report by date shown")))),IF(AND(N(Q126)&gt;7,OR(S126="",S126="Not reportable",S126="Over-3-day injury (record only)")),"CHECK – over 7 days off",IF(S126="","Decide RIDDOR",IF(S126="Over-3-day injury (record only)","Record only","Not reportable"))))))))</f>
        <v/>
      </c>
      <c r="W126" s="30"/>
      <c r="X126" s="29"/>
      <c r="Y126" s="32"/>
      <c r="Z126" s="29"/>
      <c r="AA126" s="35"/>
      <c r="AB126" s="29"/>
      <c r="AC126" s="29"/>
      <c r="AD126" s="29"/>
      <c r="AE126" s="29"/>
      <c r="AF126" s="29"/>
      <c r="AG126" s="30"/>
      <c r="AH126" s="29"/>
      <c r="AI126" s="36" t="str">
        <f aca="true">IF(OR(C126="",AH126="Closed",AH126="Void – logged in error",AG126=""),"",IF(AG126&lt;TODAY(),"OVERDUE",IF(AG126-TODAY()&lt;='Start here'!$C$8,"Due soon","On track")))</f>
        <v/>
      </c>
      <c r="AJ126" s="29"/>
      <c r="AK126" s="29"/>
      <c r="AL126" s="30"/>
      <c r="AM126" s="37" t="str">
        <f aca="false">IF(AND(C126&lt;&gt;"",AH126&lt;&gt;"Closed",AH126&lt;&gt;"Void – logged in error",OR(AH126&lt;&gt;"",AD126&lt;&gt;"",AE126&lt;&gt;"",AF126&lt;&gt;"",AG126&lt;&gt;"")),ROW(),"")</f>
        <v/>
      </c>
    </row>
    <row r="127" customFormat="false" ht="30" hidden="false" customHeight="true" outlineLevel="0" collapsed="false">
      <c r="A127" s="28" t="str">
        <f aca="false">IF(C127="","","INC-"&amp;YEAR(C127)&amp;"-"&amp;TEXT(COUNTIFS($C$6:C127,"&gt;="&amp;DATE(YEAR(C127),1,1),$C$6:C127,"&lt;="&amp;DATE(YEAR(C127),12,31)),"000"))</f>
        <v/>
      </c>
      <c r="B127" s="29"/>
      <c r="C127" s="30"/>
      <c r="D127" s="31"/>
      <c r="E127" s="30"/>
      <c r="F127" s="29"/>
      <c r="G127" s="29"/>
      <c r="H127" s="29"/>
      <c r="I127" s="29"/>
      <c r="J127" s="29"/>
      <c r="K127" s="29"/>
      <c r="L127" s="29"/>
      <c r="M127" s="29"/>
      <c r="N127" s="29"/>
      <c r="O127" s="29"/>
      <c r="P127" s="29"/>
      <c r="Q127" s="32"/>
      <c r="R127" s="29"/>
      <c r="S127" s="29"/>
      <c r="T127" s="33" t="str">
        <f aca="false">IF(AH127="Void – logged in error","",IF(OR(C127="",S127=""),IF(C127="","","Decide"),IF(OR(S127="Not reportable",S127="Over-3-day injury (record only)"),"No","Yes")))</f>
        <v/>
      </c>
      <c r="U127" s="34" t="str">
        <f aca="false">IF(OR(C127="",S127=""),"",IF(S127="Over-7-day injury",C127+15,IF(OR(S127="Death",S127="Specified injury",S127="Member of public to hospital",S127="Dangerous occurrence"),C127+10,"")))</f>
        <v/>
      </c>
      <c r="V127" s="28" t="str">
        <f aca="true">IF(C127="","",IF(AH127="Void – logged in error","Void",IF(W127&lt;&gt;"","Done – reported",IF(S127="Occupational disease","REPORT NOW – on diagnosis",IF(ISNUMBER(U127),IF(U127&lt;TODAY(),"OVERDUE – report now",IF(U127=TODAY(),"DUE TODAY",IF(U127-TODAY()&lt;='Start here'!$C$7,"DUE in "&amp;(U127-TODAY())&amp;" days",IF(OR(S127="Death",S127="Specified injury",S127="Member of public to hospital",S127="Dangerous occurrence"),"REPORT without delay","Report by date shown")))),IF(AND(N(Q127)&gt;7,OR(S127="",S127="Not reportable",S127="Over-3-day injury (record only)")),"CHECK – over 7 days off",IF(S127="","Decide RIDDOR",IF(S127="Over-3-day injury (record only)","Record only","Not reportable"))))))))</f>
        <v/>
      </c>
      <c r="W127" s="30"/>
      <c r="X127" s="29"/>
      <c r="Y127" s="32"/>
      <c r="Z127" s="29"/>
      <c r="AA127" s="35"/>
      <c r="AB127" s="29"/>
      <c r="AC127" s="29"/>
      <c r="AD127" s="29"/>
      <c r="AE127" s="29"/>
      <c r="AF127" s="29"/>
      <c r="AG127" s="30"/>
      <c r="AH127" s="29"/>
      <c r="AI127" s="36" t="str">
        <f aca="true">IF(OR(C127="",AH127="Closed",AH127="Void – logged in error",AG127=""),"",IF(AG127&lt;TODAY(),"OVERDUE",IF(AG127-TODAY()&lt;='Start here'!$C$8,"Due soon","On track")))</f>
        <v/>
      </c>
      <c r="AJ127" s="29"/>
      <c r="AK127" s="29"/>
      <c r="AL127" s="30"/>
      <c r="AM127" s="37" t="str">
        <f aca="false">IF(AND(C127&lt;&gt;"",AH127&lt;&gt;"Closed",AH127&lt;&gt;"Void – logged in error",OR(AH127&lt;&gt;"",AD127&lt;&gt;"",AE127&lt;&gt;"",AF127&lt;&gt;"",AG127&lt;&gt;"")),ROW(),"")</f>
        <v/>
      </c>
    </row>
    <row r="128" customFormat="false" ht="30" hidden="false" customHeight="true" outlineLevel="0" collapsed="false">
      <c r="A128" s="28" t="str">
        <f aca="false">IF(C128="","","INC-"&amp;YEAR(C128)&amp;"-"&amp;TEXT(COUNTIFS($C$6:C128,"&gt;="&amp;DATE(YEAR(C128),1,1),$C$6:C128,"&lt;="&amp;DATE(YEAR(C128),12,31)),"000"))</f>
        <v/>
      </c>
      <c r="B128" s="29"/>
      <c r="C128" s="30"/>
      <c r="D128" s="31"/>
      <c r="E128" s="30"/>
      <c r="F128" s="29"/>
      <c r="G128" s="29"/>
      <c r="H128" s="29"/>
      <c r="I128" s="29"/>
      <c r="J128" s="29"/>
      <c r="K128" s="29"/>
      <c r="L128" s="29"/>
      <c r="M128" s="29"/>
      <c r="N128" s="29"/>
      <c r="O128" s="29"/>
      <c r="P128" s="29"/>
      <c r="Q128" s="32"/>
      <c r="R128" s="29"/>
      <c r="S128" s="29"/>
      <c r="T128" s="33" t="str">
        <f aca="false">IF(AH128="Void – logged in error","",IF(OR(C128="",S128=""),IF(C128="","","Decide"),IF(OR(S128="Not reportable",S128="Over-3-day injury (record only)"),"No","Yes")))</f>
        <v/>
      </c>
      <c r="U128" s="34" t="str">
        <f aca="false">IF(OR(C128="",S128=""),"",IF(S128="Over-7-day injury",C128+15,IF(OR(S128="Death",S128="Specified injury",S128="Member of public to hospital",S128="Dangerous occurrence"),C128+10,"")))</f>
        <v/>
      </c>
      <c r="V128" s="28" t="str">
        <f aca="true">IF(C128="","",IF(AH128="Void – logged in error","Void",IF(W128&lt;&gt;"","Done – reported",IF(S128="Occupational disease","REPORT NOW – on diagnosis",IF(ISNUMBER(U128),IF(U128&lt;TODAY(),"OVERDUE – report now",IF(U128=TODAY(),"DUE TODAY",IF(U128-TODAY()&lt;='Start here'!$C$7,"DUE in "&amp;(U128-TODAY())&amp;" days",IF(OR(S128="Death",S128="Specified injury",S128="Member of public to hospital",S128="Dangerous occurrence"),"REPORT without delay","Report by date shown")))),IF(AND(N(Q128)&gt;7,OR(S128="",S128="Not reportable",S128="Over-3-day injury (record only)")),"CHECK – over 7 days off",IF(S128="","Decide RIDDOR",IF(S128="Over-3-day injury (record only)","Record only","Not reportable"))))))))</f>
        <v/>
      </c>
      <c r="W128" s="30"/>
      <c r="X128" s="29"/>
      <c r="Y128" s="32"/>
      <c r="Z128" s="29"/>
      <c r="AA128" s="35"/>
      <c r="AB128" s="29"/>
      <c r="AC128" s="29"/>
      <c r="AD128" s="29"/>
      <c r="AE128" s="29"/>
      <c r="AF128" s="29"/>
      <c r="AG128" s="30"/>
      <c r="AH128" s="29"/>
      <c r="AI128" s="36" t="str">
        <f aca="true">IF(OR(C128="",AH128="Closed",AH128="Void – logged in error",AG128=""),"",IF(AG128&lt;TODAY(),"OVERDUE",IF(AG128-TODAY()&lt;='Start here'!$C$8,"Due soon","On track")))</f>
        <v/>
      </c>
      <c r="AJ128" s="29"/>
      <c r="AK128" s="29"/>
      <c r="AL128" s="30"/>
      <c r="AM128" s="37" t="str">
        <f aca="false">IF(AND(C128&lt;&gt;"",AH128&lt;&gt;"Closed",AH128&lt;&gt;"Void – logged in error",OR(AH128&lt;&gt;"",AD128&lt;&gt;"",AE128&lt;&gt;"",AF128&lt;&gt;"",AG128&lt;&gt;"")),ROW(),"")</f>
        <v/>
      </c>
    </row>
    <row r="129" customFormat="false" ht="30" hidden="false" customHeight="true" outlineLevel="0" collapsed="false">
      <c r="A129" s="28" t="str">
        <f aca="false">IF(C129="","","INC-"&amp;YEAR(C129)&amp;"-"&amp;TEXT(COUNTIFS($C$6:C129,"&gt;="&amp;DATE(YEAR(C129),1,1),$C$6:C129,"&lt;="&amp;DATE(YEAR(C129),12,31)),"000"))</f>
        <v/>
      </c>
      <c r="B129" s="29"/>
      <c r="C129" s="30"/>
      <c r="D129" s="31"/>
      <c r="E129" s="30"/>
      <c r="F129" s="29"/>
      <c r="G129" s="29"/>
      <c r="H129" s="29"/>
      <c r="I129" s="29"/>
      <c r="J129" s="29"/>
      <c r="K129" s="29"/>
      <c r="L129" s="29"/>
      <c r="M129" s="29"/>
      <c r="N129" s="29"/>
      <c r="O129" s="29"/>
      <c r="P129" s="29"/>
      <c r="Q129" s="32"/>
      <c r="R129" s="29"/>
      <c r="S129" s="29"/>
      <c r="T129" s="33" t="str">
        <f aca="false">IF(AH129="Void – logged in error","",IF(OR(C129="",S129=""),IF(C129="","","Decide"),IF(OR(S129="Not reportable",S129="Over-3-day injury (record only)"),"No","Yes")))</f>
        <v/>
      </c>
      <c r="U129" s="34" t="str">
        <f aca="false">IF(OR(C129="",S129=""),"",IF(S129="Over-7-day injury",C129+15,IF(OR(S129="Death",S129="Specified injury",S129="Member of public to hospital",S129="Dangerous occurrence"),C129+10,"")))</f>
        <v/>
      </c>
      <c r="V129" s="28" t="str">
        <f aca="true">IF(C129="","",IF(AH129="Void – logged in error","Void",IF(W129&lt;&gt;"","Done – reported",IF(S129="Occupational disease","REPORT NOW – on diagnosis",IF(ISNUMBER(U129),IF(U129&lt;TODAY(),"OVERDUE – report now",IF(U129=TODAY(),"DUE TODAY",IF(U129-TODAY()&lt;='Start here'!$C$7,"DUE in "&amp;(U129-TODAY())&amp;" days",IF(OR(S129="Death",S129="Specified injury",S129="Member of public to hospital",S129="Dangerous occurrence"),"REPORT without delay","Report by date shown")))),IF(AND(N(Q129)&gt;7,OR(S129="",S129="Not reportable",S129="Over-3-day injury (record only)")),"CHECK – over 7 days off",IF(S129="","Decide RIDDOR",IF(S129="Over-3-day injury (record only)","Record only","Not reportable"))))))))</f>
        <v/>
      </c>
      <c r="W129" s="30"/>
      <c r="X129" s="29"/>
      <c r="Y129" s="32"/>
      <c r="Z129" s="29"/>
      <c r="AA129" s="35"/>
      <c r="AB129" s="29"/>
      <c r="AC129" s="29"/>
      <c r="AD129" s="29"/>
      <c r="AE129" s="29"/>
      <c r="AF129" s="29"/>
      <c r="AG129" s="30"/>
      <c r="AH129" s="29"/>
      <c r="AI129" s="36" t="str">
        <f aca="true">IF(OR(C129="",AH129="Closed",AH129="Void – logged in error",AG129=""),"",IF(AG129&lt;TODAY(),"OVERDUE",IF(AG129-TODAY()&lt;='Start here'!$C$8,"Due soon","On track")))</f>
        <v/>
      </c>
      <c r="AJ129" s="29"/>
      <c r="AK129" s="29"/>
      <c r="AL129" s="30"/>
      <c r="AM129" s="37" t="str">
        <f aca="false">IF(AND(C129&lt;&gt;"",AH129&lt;&gt;"Closed",AH129&lt;&gt;"Void – logged in error",OR(AH129&lt;&gt;"",AD129&lt;&gt;"",AE129&lt;&gt;"",AF129&lt;&gt;"",AG129&lt;&gt;"")),ROW(),"")</f>
        <v/>
      </c>
    </row>
    <row r="130" customFormat="false" ht="30" hidden="false" customHeight="true" outlineLevel="0" collapsed="false">
      <c r="A130" s="28" t="str">
        <f aca="false">IF(C130="","","INC-"&amp;YEAR(C130)&amp;"-"&amp;TEXT(COUNTIFS($C$6:C130,"&gt;="&amp;DATE(YEAR(C130),1,1),$C$6:C130,"&lt;="&amp;DATE(YEAR(C130),12,31)),"000"))</f>
        <v/>
      </c>
      <c r="B130" s="29"/>
      <c r="C130" s="30"/>
      <c r="D130" s="31"/>
      <c r="E130" s="30"/>
      <c r="F130" s="29"/>
      <c r="G130" s="29"/>
      <c r="H130" s="29"/>
      <c r="I130" s="29"/>
      <c r="J130" s="29"/>
      <c r="K130" s="29"/>
      <c r="L130" s="29"/>
      <c r="M130" s="29"/>
      <c r="N130" s="29"/>
      <c r="O130" s="29"/>
      <c r="P130" s="29"/>
      <c r="Q130" s="32"/>
      <c r="R130" s="29"/>
      <c r="S130" s="29"/>
      <c r="T130" s="33" t="str">
        <f aca="false">IF(AH130="Void – logged in error","",IF(OR(C130="",S130=""),IF(C130="","","Decide"),IF(OR(S130="Not reportable",S130="Over-3-day injury (record only)"),"No","Yes")))</f>
        <v/>
      </c>
      <c r="U130" s="34" t="str">
        <f aca="false">IF(OR(C130="",S130=""),"",IF(S130="Over-7-day injury",C130+15,IF(OR(S130="Death",S130="Specified injury",S130="Member of public to hospital",S130="Dangerous occurrence"),C130+10,"")))</f>
        <v/>
      </c>
      <c r="V130" s="28" t="str">
        <f aca="true">IF(C130="","",IF(AH130="Void – logged in error","Void",IF(W130&lt;&gt;"","Done – reported",IF(S130="Occupational disease","REPORT NOW – on diagnosis",IF(ISNUMBER(U130),IF(U130&lt;TODAY(),"OVERDUE – report now",IF(U130=TODAY(),"DUE TODAY",IF(U130-TODAY()&lt;='Start here'!$C$7,"DUE in "&amp;(U130-TODAY())&amp;" days",IF(OR(S130="Death",S130="Specified injury",S130="Member of public to hospital",S130="Dangerous occurrence"),"REPORT without delay","Report by date shown")))),IF(AND(N(Q130)&gt;7,OR(S130="",S130="Not reportable",S130="Over-3-day injury (record only)")),"CHECK – over 7 days off",IF(S130="","Decide RIDDOR",IF(S130="Over-3-day injury (record only)","Record only","Not reportable"))))))))</f>
        <v/>
      </c>
      <c r="W130" s="30"/>
      <c r="X130" s="29"/>
      <c r="Y130" s="32"/>
      <c r="Z130" s="29"/>
      <c r="AA130" s="35"/>
      <c r="AB130" s="29"/>
      <c r="AC130" s="29"/>
      <c r="AD130" s="29"/>
      <c r="AE130" s="29"/>
      <c r="AF130" s="29"/>
      <c r="AG130" s="30"/>
      <c r="AH130" s="29"/>
      <c r="AI130" s="36" t="str">
        <f aca="true">IF(OR(C130="",AH130="Closed",AH130="Void – logged in error",AG130=""),"",IF(AG130&lt;TODAY(),"OVERDUE",IF(AG130-TODAY()&lt;='Start here'!$C$8,"Due soon","On track")))</f>
        <v/>
      </c>
      <c r="AJ130" s="29"/>
      <c r="AK130" s="29"/>
      <c r="AL130" s="30"/>
      <c r="AM130" s="37" t="str">
        <f aca="false">IF(AND(C130&lt;&gt;"",AH130&lt;&gt;"Closed",AH130&lt;&gt;"Void – logged in error",OR(AH130&lt;&gt;"",AD130&lt;&gt;"",AE130&lt;&gt;"",AF130&lt;&gt;"",AG130&lt;&gt;"")),ROW(),"")</f>
        <v/>
      </c>
    </row>
    <row r="131" customFormat="false" ht="30" hidden="false" customHeight="true" outlineLevel="0" collapsed="false">
      <c r="A131" s="28" t="str">
        <f aca="false">IF(C131="","","INC-"&amp;YEAR(C131)&amp;"-"&amp;TEXT(COUNTIFS($C$6:C131,"&gt;="&amp;DATE(YEAR(C131),1,1),$C$6:C131,"&lt;="&amp;DATE(YEAR(C131),12,31)),"000"))</f>
        <v/>
      </c>
      <c r="B131" s="29"/>
      <c r="C131" s="30"/>
      <c r="D131" s="31"/>
      <c r="E131" s="30"/>
      <c r="F131" s="29"/>
      <c r="G131" s="29"/>
      <c r="H131" s="29"/>
      <c r="I131" s="29"/>
      <c r="J131" s="29"/>
      <c r="K131" s="29"/>
      <c r="L131" s="29"/>
      <c r="M131" s="29"/>
      <c r="N131" s="29"/>
      <c r="O131" s="29"/>
      <c r="P131" s="29"/>
      <c r="Q131" s="32"/>
      <c r="R131" s="29"/>
      <c r="S131" s="29"/>
      <c r="T131" s="33" t="str">
        <f aca="false">IF(AH131="Void – logged in error","",IF(OR(C131="",S131=""),IF(C131="","","Decide"),IF(OR(S131="Not reportable",S131="Over-3-day injury (record only)"),"No","Yes")))</f>
        <v/>
      </c>
      <c r="U131" s="34" t="str">
        <f aca="false">IF(OR(C131="",S131=""),"",IF(S131="Over-7-day injury",C131+15,IF(OR(S131="Death",S131="Specified injury",S131="Member of public to hospital",S131="Dangerous occurrence"),C131+10,"")))</f>
        <v/>
      </c>
      <c r="V131" s="28" t="str">
        <f aca="true">IF(C131="","",IF(AH131="Void – logged in error","Void",IF(W131&lt;&gt;"","Done – reported",IF(S131="Occupational disease","REPORT NOW – on diagnosis",IF(ISNUMBER(U131),IF(U131&lt;TODAY(),"OVERDUE – report now",IF(U131=TODAY(),"DUE TODAY",IF(U131-TODAY()&lt;='Start here'!$C$7,"DUE in "&amp;(U131-TODAY())&amp;" days",IF(OR(S131="Death",S131="Specified injury",S131="Member of public to hospital",S131="Dangerous occurrence"),"REPORT without delay","Report by date shown")))),IF(AND(N(Q131)&gt;7,OR(S131="",S131="Not reportable",S131="Over-3-day injury (record only)")),"CHECK – over 7 days off",IF(S131="","Decide RIDDOR",IF(S131="Over-3-day injury (record only)","Record only","Not reportable"))))))))</f>
        <v/>
      </c>
      <c r="W131" s="30"/>
      <c r="X131" s="29"/>
      <c r="Y131" s="32"/>
      <c r="Z131" s="29"/>
      <c r="AA131" s="35"/>
      <c r="AB131" s="29"/>
      <c r="AC131" s="29"/>
      <c r="AD131" s="29"/>
      <c r="AE131" s="29"/>
      <c r="AF131" s="29"/>
      <c r="AG131" s="30"/>
      <c r="AH131" s="29"/>
      <c r="AI131" s="36" t="str">
        <f aca="true">IF(OR(C131="",AH131="Closed",AH131="Void – logged in error",AG131=""),"",IF(AG131&lt;TODAY(),"OVERDUE",IF(AG131-TODAY()&lt;='Start here'!$C$8,"Due soon","On track")))</f>
        <v/>
      </c>
      <c r="AJ131" s="29"/>
      <c r="AK131" s="29"/>
      <c r="AL131" s="30"/>
      <c r="AM131" s="37" t="str">
        <f aca="false">IF(AND(C131&lt;&gt;"",AH131&lt;&gt;"Closed",AH131&lt;&gt;"Void – logged in error",OR(AH131&lt;&gt;"",AD131&lt;&gt;"",AE131&lt;&gt;"",AF131&lt;&gt;"",AG131&lt;&gt;"")),ROW(),"")</f>
        <v/>
      </c>
    </row>
    <row r="132" customFormat="false" ht="30" hidden="false" customHeight="true" outlineLevel="0" collapsed="false">
      <c r="A132" s="28" t="str">
        <f aca="false">IF(C132="","","INC-"&amp;YEAR(C132)&amp;"-"&amp;TEXT(COUNTIFS($C$6:C132,"&gt;="&amp;DATE(YEAR(C132),1,1),$C$6:C132,"&lt;="&amp;DATE(YEAR(C132),12,31)),"000"))</f>
        <v/>
      </c>
      <c r="B132" s="29"/>
      <c r="C132" s="30"/>
      <c r="D132" s="31"/>
      <c r="E132" s="30"/>
      <c r="F132" s="29"/>
      <c r="G132" s="29"/>
      <c r="H132" s="29"/>
      <c r="I132" s="29"/>
      <c r="J132" s="29"/>
      <c r="K132" s="29"/>
      <c r="L132" s="29"/>
      <c r="M132" s="29"/>
      <c r="N132" s="29"/>
      <c r="O132" s="29"/>
      <c r="P132" s="29"/>
      <c r="Q132" s="32"/>
      <c r="R132" s="29"/>
      <c r="S132" s="29"/>
      <c r="T132" s="33" t="str">
        <f aca="false">IF(AH132="Void – logged in error","",IF(OR(C132="",S132=""),IF(C132="","","Decide"),IF(OR(S132="Not reportable",S132="Over-3-day injury (record only)"),"No","Yes")))</f>
        <v/>
      </c>
      <c r="U132" s="34" t="str">
        <f aca="false">IF(OR(C132="",S132=""),"",IF(S132="Over-7-day injury",C132+15,IF(OR(S132="Death",S132="Specified injury",S132="Member of public to hospital",S132="Dangerous occurrence"),C132+10,"")))</f>
        <v/>
      </c>
      <c r="V132" s="28" t="str">
        <f aca="true">IF(C132="","",IF(AH132="Void – logged in error","Void",IF(W132&lt;&gt;"","Done – reported",IF(S132="Occupational disease","REPORT NOW – on diagnosis",IF(ISNUMBER(U132),IF(U132&lt;TODAY(),"OVERDUE – report now",IF(U132=TODAY(),"DUE TODAY",IF(U132-TODAY()&lt;='Start here'!$C$7,"DUE in "&amp;(U132-TODAY())&amp;" days",IF(OR(S132="Death",S132="Specified injury",S132="Member of public to hospital",S132="Dangerous occurrence"),"REPORT without delay","Report by date shown")))),IF(AND(N(Q132)&gt;7,OR(S132="",S132="Not reportable",S132="Over-3-day injury (record only)")),"CHECK – over 7 days off",IF(S132="","Decide RIDDOR",IF(S132="Over-3-day injury (record only)","Record only","Not reportable"))))))))</f>
        <v/>
      </c>
      <c r="W132" s="30"/>
      <c r="X132" s="29"/>
      <c r="Y132" s="32"/>
      <c r="Z132" s="29"/>
      <c r="AA132" s="35"/>
      <c r="AB132" s="29"/>
      <c r="AC132" s="29"/>
      <c r="AD132" s="29"/>
      <c r="AE132" s="29"/>
      <c r="AF132" s="29"/>
      <c r="AG132" s="30"/>
      <c r="AH132" s="29"/>
      <c r="AI132" s="36" t="str">
        <f aca="true">IF(OR(C132="",AH132="Closed",AH132="Void – logged in error",AG132=""),"",IF(AG132&lt;TODAY(),"OVERDUE",IF(AG132-TODAY()&lt;='Start here'!$C$8,"Due soon","On track")))</f>
        <v/>
      </c>
      <c r="AJ132" s="29"/>
      <c r="AK132" s="29"/>
      <c r="AL132" s="30"/>
      <c r="AM132" s="37" t="str">
        <f aca="false">IF(AND(C132&lt;&gt;"",AH132&lt;&gt;"Closed",AH132&lt;&gt;"Void – logged in error",OR(AH132&lt;&gt;"",AD132&lt;&gt;"",AE132&lt;&gt;"",AF132&lt;&gt;"",AG132&lt;&gt;"")),ROW(),"")</f>
        <v/>
      </c>
    </row>
    <row r="133" customFormat="false" ht="30" hidden="false" customHeight="true" outlineLevel="0" collapsed="false">
      <c r="A133" s="28" t="str">
        <f aca="false">IF(C133="","","INC-"&amp;YEAR(C133)&amp;"-"&amp;TEXT(COUNTIFS($C$6:C133,"&gt;="&amp;DATE(YEAR(C133),1,1),$C$6:C133,"&lt;="&amp;DATE(YEAR(C133),12,31)),"000"))</f>
        <v/>
      </c>
      <c r="B133" s="29"/>
      <c r="C133" s="30"/>
      <c r="D133" s="31"/>
      <c r="E133" s="30"/>
      <c r="F133" s="29"/>
      <c r="G133" s="29"/>
      <c r="H133" s="29"/>
      <c r="I133" s="29"/>
      <c r="J133" s="29"/>
      <c r="K133" s="29"/>
      <c r="L133" s="29"/>
      <c r="M133" s="29"/>
      <c r="N133" s="29"/>
      <c r="O133" s="29"/>
      <c r="P133" s="29"/>
      <c r="Q133" s="32"/>
      <c r="R133" s="29"/>
      <c r="S133" s="29"/>
      <c r="T133" s="33" t="str">
        <f aca="false">IF(AH133="Void – logged in error","",IF(OR(C133="",S133=""),IF(C133="","","Decide"),IF(OR(S133="Not reportable",S133="Over-3-day injury (record only)"),"No","Yes")))</f>
        <v/>
      </c>
      <c r="U133" s="34" t="str">
        <f aca="false">IF(OR(C133="",S133=""),"",IF(S133="Over-7-day injury",C133+15,IF(OR(S133="Death",S133="Specified injury",S133="Member of public to hospital",S133="Dangerous occurrence"),C133+10,"")))</f>
        <v/>
      </c>
      <c r="V133" s="28" t="str">
        <f aca="true">IF(C133="","",IF(AH133="Void – logged in error","Void",IF(W133&lt;&gt;"","Done – reported",IF(S133="Occupational disease","REPORT NOW – on diagnosis",IF(ISNUMBER(U133),IF(U133&lt;TODAY(),"OVERDUE – report now",IF(U133=TODAY(),"DUE TODAY",IF(U133-TODAY()&lt;='Start here'!$C$7,"DUE in "&amp;(U133-TODAY())&amp;" days",IF(OR(S133="Death",S133="Specified injury",S133="Member of public to hospital",S133="Dangerous occurrence"),"REPORT without delay","Report by date shown")))),IF(AND(N(Q133)&gt;7,OR(S133="",S133="Not reportable",S133="Over-3-day injury (record only)")),"CHECK – over 7 days off",IF(S133="","Decide RIDDOR",IF(S133="Over-3-day injury (record only)","Record only","Not reportable"))))))))</f>
        <v/>
      </c>
      <c r="W133" s="30"/>
      <c r="X133" s="29"/>
      <c r="Y133" s="32"/>
      <c r="Z133" s="29"/>
      <c r="AA133" s="35"/>
      <c r="AB133" s="29"/>
      <c r="AC133" s="29"/>
      <c r="AD133" s="29"/>
      <c r="AE133" s="29"/>
      <c r="AF133" s="29"/>
      <c r="AG133" s="30"/>
      <c r="AH133" s="29"/>
      <c r="AI133" s="36" t="str">
        <f aca="true">IF(OR(C133="",AH133="Closed",AH133="Void – logged in error",AG133=""),"",IF(AG133&lt;TODAY(),"OVERDUE",IF(AG133-TODAY()&lt;='Start here'!$C$8,"Due soon","On track")))</f>
        <v/>
      </c>
      <c r="AJ133" s="29"/>
      <c r="AK133" s="29"/>
      <c r="AL133" s="30"/>
      <c r="AM133" s="37" t="str">
        <f aca="false">IF(AND(C133&lt;&gt;"",AH133&lt;&gt;"Closed",AH133&lt;&gt;"Void – logged in error",OR(AH133&lt;&gt;"",AD133&lt;&gt;"",AE133&lt;&gt;"",AF133&lt;&gt;"",AG133&lt;&gt;"")),ROW(),"")</f>
        <v/>
      </c>
    </row>
    <row r="134" customFormat="false" ht="30" hidden="false" customHeight="true" outlineLevel="0" collapsed="false">
      <c r="A134" s="28" t="str">
        <f aca="false">IF(C134="","","INC-"&amp;YEAR(C134)&amp;"-"&amp;TEXT(COUNTIFS($C$6:C134,"&gt;="&amp;DATE(YEAR(C134),1,1),$C$6:C134,"&lt;="&amp;DATE(YEAR(C134),12,31)),"000"))</f>
        <v/>
      </c>
      <c r="B134" s="29"/>
      <c r="C134" s="30"/>
      <c r="D134" s="31"/>
      <c r="E134" s="30"/>
      <c r="F134" s="29"/>
      <c r="G134" s="29"/>
      <c r="H134" s="29"/>
      <c r="I134" s="29"/>
      <c r="J134" s="29"/>
      <c r="K134" s="29"/>
      <c r="L134" s="29"/>
      <c r="M134" s="29"/>
      <c r="N134" s="29"/>
      <c r="O134" s="29"/>
      <c r="P134" s="29"/>
      <c r="Q134" s="32"/>
      <c r="R134" s="29"/>
      <c r="S134" s="29"/>
      <c r="T134" s="33" t="str">
        <f aca="false">IF(AH134="Void – logged in error","",IF(OR(C134="",S134=""),IF(C134="","","Decide"),IF(OR(S134="Not reportable",S134="Over-3-day injury (record only)"),"No","Yes")))</f>
        <v/>
      </c>
      <c r="U134" s="34" t="str">
        <f aca="false">IF(OR(C134="",S134=""),"",IF(S134="Over-7-day injury",C134+15,IF(OR(S134="Death",S134="Specified injury",S134="Member of public to hospital",S134="Dangerous occurrence"),C134+10,"")))</f>
        <v/>
      </c>
      <c r="V134" s="28" t="str">
        <f aca="true">IF(C134="","",IF(AH134="Void – logged in error","Void",IF(W134&lt;&gt;"","Done – reported",IF(S134="Occupational disease","REPORT NOW – on diagnosis",IF(ISNUMBER(U134),IF(U134&lt;TODAY(),"OVERDUE – report now",IF(U134=TODAY(),"DUE TODAY",IF(U134-TODAY()&lt;='Start here'!$C$7,"DUE in "&amp;(U134-TODAY())&amp;" days",IF(OR(S134="Death",S134="Specified injury",S134="Member of public to hospital",S134="Dangerous occurrence"),"REPORT without delay","Report by date shown")))),IF(AND(N(Q134)&gt;7,OR(S134="",S134="Not reportable",S134="Over-3-day injury (record only)")),"CHECK – over 7 days off",IF(S134="","Decide RIDDOR",IF(S134="Over-3-day injury (record only)","Record only","Not reportable"))))))))</f>
        <v/>
      </c>
      <c r="W134" s="30"/>
      <c r="X134" s="29"/>
      <c r="Y134" s="32"/>
      <c r="Z134" s="29"/>
      <c r="AA134" s="35"/>
      <c r="AB134" s="29"/>
      <c r="AC134" s="29"/>
      <c r="AD134" s="29"/>
      <c r="AE134" s="29"/>
      <c r="AF134" s="29"/>
      <c r="AG134" s="30"/>
      <c r="AH134" s="29"/>
      <c r="AI134" s="36" t="str">
        <f aca="true">IF(OR(C134="",AH134="Closed",AH134="Void – logged in error",AG134=""),"",IF(AG134&lt;TODAY(),"OVERDUE",IF(AG134-TODAY()&lt;='Start here'!$C$8,"Due soon","On track")))</f>
        <v/>
      </c>
      <c r="AJ134" s="29"/>
      <c r="AK134" s="29"/>
      <c r="AL134" s="30"/>
      <c r="AM134" s="37" t="str">
        <f aca="false">IF(AND(C134&lt;&gt;"",AH134&lt;&gt;"Closed",AH134&lt;&gt;"Void – logged in error",OR(AH134&lt;&gt;"",AD134&lt;&gt;"",AE134&lt;&gt;"",AF134&lt;&gt;"",AG134&lt;&gt;"")),ROW(),"")</f>
        <v/>
      </c>
    </row>
    <row r="135" customFormat="false" ht="30" hidden="false" customHeight="true" outlineLevel="0" collapsed="false">
      <c r="A135" s="28" t="str">
        <f aca="false">IF(C135="","","INC-"&amp;YEAR(C135)&amp;"-"&amp;TEXT(COUNTIFS($C$6:C135,"&gt;="&amp;DATE(YEAR(C135),1,1),$C$6:C135,"&lt;="&amp;DATE(YEAR(C135),12,31)),"000"))</f>
        <v/>
      </c>
      <c r="B135" s="29"/>
      <c r="C135" s="30"/>
      <c r="D135" s="31"/>
      <c r="E135" s="30"/>
      <c r="F135" s="29"/>
      <c r="G135" s="29"/>
      <c r="H135" s="29"/>
      <c r="I135" s="29"/>
      <c r="J135" s="29"/>
      <c r="K135" s="29"/>
      <c r="L135" s="29"/>
      <c r="M135" s="29"/>
      <c r="N135" s="29"/>
      <c r="O135" s="29"/>
      <c r="P135" s="29"/>
      <c r="Q135" s="32"/>
      <c r="R135" s="29"/>
      <c r="S135" s="29"/>
      <c r="T135" s="33" t="str">
        <f aca="false">IF(AH135="Void – logged in error","",IF(OR(C135="",S135=""),IF(C135="","","Decide"),IF(OR(S135="Not reportable",S135="Over-3-day injury (record only)"),"No","Yes")))</f>
        <v/>
      </c>
      <c r="U135" s="34" t="str">
        <f aca="false">IF(OR(C135="",S135=""),"",IF(S135="Over-7-day injury",C135+15,IF(OR(S135="Death",S135="Specified injury",S135="Member of public to hospital",S135="Dangerous occurrence"),C135+10,"")))</f>
        <v/>
      </c>
      <c r="V135" s="28" t="str">
        <f aca="true">IF(C135="","",IF(AH135="Void – logged in error","Void",IF(W135&lt;&gt;"","Done – reported",IF(S135="Occupational disease","REPORT NOW – on diagnosis",IF(ISNUMBER(U135),IF(U135&lt;TODAY(),"OVERDUE – report now",IF(U135=TODAY(),"DUE TODAY",IF(U135-TODAY()&lt;='Start here'!$C$7,"DUE in "&amp;(U135-TODAY())&amp;" days",IF(OR(S135="Death",S135="Specified injury",S135="Member of public to hospital",S135="Dangerous occurrence"),"REPORT without delay","Report by date shown")))),IF(AND(N(Q135)&gt;7,OR(S135="",S135="Not reportable",S135="Over-3-day injury (record only)")),"CHECK – over 7 days off",IF(S135="","Decide RIDDOR",IF(S135="Over-3-day injury (record only)","Record only","Not reportable"))))))))</f>
        <v/>
      </c>
      <c r="W135" s="30"/>
      <c r="X135" s="29"/>
      <c r="Y135" s="32"/>
      <c r="Z135" s="29"/>
      <c r="AA135" s="35"/>
      <c r="AB135" s="29"/>
      <c r="AC135" s="29"/>
      <c r="AD135" s="29"/>
      <c r="AE135" s="29"/>
      <c r="AF135" s="29"/>
      <c r="AG135" s="30"/>
      <c r="AH135" s="29"/>
      <c r="AI135" s="36" t="str">
        <f aca="true">IF(OR(C135="",AH135="Closed",AH135="Void – logged in error",AG135=""),"",IF(AG135&lt;TODAY(),"OVERDUE",IF(AG135-TODAY()&lt;='Start here'!$C$8,"Due soon","On track")))</f>
        <v/>
      </c>
      <c r="AJ135" s="29"/>
      <c r="AK135" s="29"/>
      <c r="AL135" s="30"/>
      <c r="AM135" s="37" t="str">
        <f aca="false">IF(AND(C135&lt;&gt;"",AH135&lt;&gt;"Closed",AH135&lt;&gt;"Void – logged in error",OR(AH135&lt;&gt;"",AD135&lt;&gt;"",AE135&lt;&gt;"",AF135&lt;&gt;"",AG135&lt;&gt;"")),ROW(),"")</f>
        <v/>
      </c>
    </row>
    <row r="136" customFormat="false" ht="30" hidden="false" customHeight="true" outlineLevel="0" collapsed="false">
      <c r="A136" s="28" t="str">
        <f aca="false">IF(C136="","","INC-"&amp;YEAR(C136)&amp;"-"&amp;TEXT(COUNTIFS($C$6:C136,"&gt;="&amp;DATE(YEAR(C136),1,1),$C$6:C136,"&lt;="&amp;DATE(YEAR(C136),12,31)),"000"))</f>
        <v/>
      </c>
      <c r="B136" s="29"/>
      <c r="C136" s="30"/>
      <c r="D136" s="31"/>
      <c r="E136" s="30"/>
      <c r="F136" s="29"/>
      <c r="G136" s="29"/>
      <c r="H136" s="29"/>
      <c r="I136" s="29"/>
      <c r="J136" s="29"/>
      <c r="K136" s="29"/>
      <c r="L136" s="29"/>
      <c r="M136" s="29"/>
      <c r="N136" s="29"/>
      <c r="O136" s="29"/>
      <c r="P136" s="29"/>
      <c r="Q136" s="32"/>
      <c r="R136" s="29"/>
      <c r="S136" s="29"/>
      <c r="T136" s="33" t="str">
        <f aca="false">IF(AH136="Void – logged in error","",IF(OR(C136="",S136=""),IF(C136="","","Decide"),IF(OR(S136="Not reportable",S136="Over-3-day injury (record only)"),"No","Yes")))</f>
        <v/>
      </c>
      <c r="U136" s="34" t="str">
        <f aca="false">IF(OR(C136="",S136=""),"",IF(S136="Over-7-day injury",C136+15,IF(OR(S136="Death",S136="Specified injury",S136="Member of public to hospital",S136="Dangerous occurrence"),C136+10,"")))</f>
        <v/>
      </c>
      <c r="V136" s="28" t="str">
        <f aca="true">IF(C136="","",IF(AH136="Void – logged in error","Void",IF(W136&lt;&gt;"","Done – reported",IF(S136="Occupational disease","REPORT NOW – on diagnosis",IF(ISNUMBER(U136),IF(U136&lt;TODAY(),"OVERDUE – report now",IF(U136=TODAY(),"DUE TODAY",IF(U136-TODAY()&lt;='Start here'!$C$7,"DUE in "&amp;(U136-TODAY())&amp;" days",IF(OR(S136="Death",S136="Specified injury",S136="Member of public to hospital",S136="Dangerous occurrence"),"REPORT without delay","Report by date shown")))),IF(AND(N(Q136)&gt;7,OR(S136="",S136="Not reportable",S136="Over-3-day injury (record only)")),"CHECK – over 7 days off",IF(S136="","Decide RIDDOR",IF(S136="Over-3-day injury (record only)","Record only","Not reportable"))))))))</f>
        <v/>
      </c>
      <c r="W136" s="30"/>
      <c r="X136" s="29"/>
      <c r="Y136" s="32"/>
      <c r="Z136" s="29"/>
      <c r="AA136" s="35"/>
      <c r="AB136" s="29"/>
      <c r="AC136" s="29"/>
      <c r="AD136" s="29"/>
      <c r="AE136" s="29"/>
      <c r="AF136" s="29"/>
      <c r="AG136" s="30"/>
      <c r="AH136" s="29"/>
      <c r="AI136" s="36" t="str">
        <f aca="true">IF(OR(C136="",AH136="Closed",AH136="Void – logged in error",AG136=""),"",IF(AG136&lt;TODAY(),"OVERDUE",IF(AG136-TODAY()&lt;='Start here'!$C$8,"Due soon","On track")))</f>
        <v/>
      </c>
      <c r="AJ136" s="29"/>
      <c r="AK136" s="29"/>
      <c r="AL136" s="30"/>
      <c r="AM136" s="37" t="str">
        <f aca="false">IF(AND(C136&lt;&gt;"",AH136&lt;&gt;"Closed",AH136&lt;&gt;"Void – logged in error",OR(AH136&lt;&gt;"",AD136&lt;&gt;"",AE136&lt;&gt;"",AF136&lt;&gt;"",AG136&lt;&gt;"")),ROW(),"")</f>
        <v/>
      </c>
    </row>
    <row r="137" customFormat="false" ht="30" hidden="false" customHeight="true" outlineLevel="0" collapsed="false">
      <c r="A137" s="28" t="str">
        <f aca="false">IF(C137="","","INC-"&amp;YEAR(C137)&amp;"-"&amp;TEXT(COUNTIFS($C$6:C137,"&gt;="&amp;DATE(YEAR(C137),1,1),$C$6:C137,"&lt;="&amp;DATE(YEAR(C137),12,31)),"000"))</f>
        <v/>
      </c>
      <c r="B137" s="29"/>
      <c r="C137" s="30"/>
      <c r="D137" s="31"/>
      <c r="E137" s="30"/>
      <c r="F137" s="29"/>
      <c r="G137" s="29"/>
      <c r="H137" s="29"/>
      <c r="I137" s="29"/>
      <c r="J137" s="29"/>
      <c r="K137" s="29"/>
      <c r="L137" s="29"/>
      <c r="M137" s="29"/>
      <c r="N137" s="29"/>
      <c r="O137" s="29"/>
      <c r="P137" s="29"/>
      <c r="Q137" s="32"/>
      <c r="R137" s="29"/>
      <c r="S137" s="29"/>
      <c r="T137" s="33" t="str">
        <f aca="false">IF(AH137="Void – logged in error","",IF(OR(C137="",S137=""),IF(C137="","","Decide"),IF(OR(S137="Not reportable",S137="Over-3-day injury (record only)"),"No","Yes")))</f>
        <v/>
      </c>
      <c r="U137" s="34" t="str">
        <f aca="false">IF(OR(C137="",S137=""),"",IF(S137="Over-7-day injury",C137+15,IF(OR(S137="Death",S137="Specified injury",S137="Member of public to hospital",S137="Dangerous occurrence"),C137+10,"")))</f>
        <v/>
      </c>
      <c r="V137" s="28" t="str">
        <f aca="true">IF(C137="","",IF(AH137="Void – logged in error","Void",IF(W137&lt;&gt;"","Done – reported",IF(S137="Occupational disease","REPORT NOW – on diagnosis",IF(ISNUMBER(U137),IF(U137&lt;TODAY(),"OVERDUE – report now",IF(U137=TODAY(),"DUE TODAY",IF(U137-TODAY()&lt;='Start here'!$C$7,"DUE in "&amp;(U137-TODAY())&amp;" days",IF(OR(S137="Death",S137="Specified injury",S137="Member of public to hospital",S137="Dangerous occurrence"),"REPORT without delay","Report by date shown")))),IF(AND(N(Q137)&gt;7,OR(S137="",S137="Not reportable",S137="Over-3-day injury (record only)")),"CHECK – over 7 days off",IF(S137="","Decide RIDDOR",IF(S137="Over-3-day injury (record only)","Record only","Not reportable"))))))))</f>
        <v/>
      </c>
      <c r="W137" s="30"/>
      <c r="X137" s="29"/>
      <c r="Y137" s="32"/>
      <c r="Z137" s="29"/>
      <c r="AA137" s="35"/>
      <c r="AB137" s="29"/>
      <c r="AC137" s="29"/>
      <c r="AD137" s="29"/>
      <c r="AE137" s="29"/>
      <c r="AF137" s="29"/>
      <c r="AG137" s="30"/>
      <c r="AH137" s="29"/>
      <c r="AI137" s="36" t="str">
        <f aca="true">IF(OR(C137="",AH137="Closed",AH137="Void – logged in error",AG137=""),"",IF(AG137&lt;TODAY(),"OVERDUE",IF(AG137-TODAY()&lt;='Start here'!$C$8,"Due soon","On track")))</f>
        <v/>
      </c>
      <c r="AJ137" s="29"/>
      <c r="AK137" s="29"/>
      <c r="AL137" s="30"/>
      <c r="AM137" s="37" t="str">
        <f aca="false">IF(AND(C137&lt;&gt;"",AH137&lt;&gt;"Closed",AH137&lt;&gt;"Void – logged in error",OR(AH137&lt;&gt;"",AD137&lt;&gt;"",AE137&lt;&gt;"",AF137&lt;&gt;"",AG137&lt;&gt;"")),ROW(),"")</f>
        <v/>
      </c>
    </row>
    <row r="138" customFormat="false" ht="30" hidden="false" customHeight="true" outlineLevel="0" collapsed="false">
      <c r="A138" s="28" t="str">
        <f aca="false">IF(C138="","","INC-"&amp;YEAR(C138)&amp;"-"&amp;TEXT(COUNTIFS($C$6:C138,"&gt;="&amp;DATE(YEAR(C138),1,1),$C$6:C138,"&lt;="&amp;DATE(YEAR(C138),12,31)),"000"))</f>
        <v/>
      </c>
      <c r="B138" s="29"/>
      <c r="C138" s="30"/>
      <c r="D138" s="31"/>
      <c r="E138" s="30"/>
      <c r="F138" s="29"/>
      <c r="G138" s="29"/>
      <c r="H138" s="29"/>
      <c r="I138" s="29"/>
      <c r="J138" s="29"/>
      <c r="K138" s="29"/>
      <c r="L138" s="29"/>
      <c r="M138" s="29"/>
      <c r="N138" s="29"/>
      <c r="O138" s="29"/>
      <c r="P138" s="29"/>
      <c r="Q138" s="32"/>
      <c r="R138" s="29"/>
      <c r="S138" s="29"/>
      <c r="T138" s="33" t="str">
        <f aca="false">IF(AH138="Void – logged in error","",IF(OR(C138="",S138=""),IF(C138="","","Decide"),IF(OR(S138="Not reportable",S138="Over-3-day injury (record only)"),"No","Yes")))</f>
        <v/>
      </c>
      <c r="U138" s="34" t="str">
        <f aca="false">IF(OR(C138="",S138=""),"",IF(S138="Over-7-day injury",C138+15,IF(OR(S138="Death",S138="Specified injury",S138="Member of public to hospital",S138="Dangerous occurrence"),C138+10,"")))</f>
        <v/>
      </c>
      <c r="V138" s="28" t="str">
        <f aca="true">IF(C138="","",IF(AH138="Void – logged in error","Void",IF(W138&lt;&gt;"","Done – reported",IF(S138="Occupational disease","REPORT NOW – on diagnosis",IF(ISNUMBER(U138),IF(U138&lt;TODAY(),"OVERDUE – report now",IF(U138=TODAY(),"DUE TODAY",IF(U138-TODAY()&lt;='Start here'!$C$7,"DUE in "&amp;(U138-TODAY())&amp;" days",IF(OR(S138="Death",S138="Specified injury",S138="Member of public to hospital",S138="Dangerous occurrence"),"REPORT without delay","Report by date shown")))),IF(AND(N(Q138)&gt;7,OR(S138="",S138="Not reportable",S138="Over-3-day injury (record only)")),"CHECK – over 7 days off",IF(S138="","Decide RIDDOR",IF(S138="Over-3-day injury (record only)","Record only","Not reportable"))))))))</f>
        <v/>
      </c>
      <c r="W138" s="30"/>
      <c r="X138" s="29"/>
      <c r="Y138" s="32"/>
      <c r="Z138" s="29"/>
      <c r="AA138" s="35"/>
      <c r="AB138" s="29"/>
      <c r="AC138" s="29"/>
      <c r="AD138" s="29"/>
      <c r="AE138" s="29"/>
      <c r="AF138" s="29"/>
      <c r="AG138" s="30"/>
      <c r="AH138" s="29"/>
      <c r="AI138" s="36" t="str">
        <f aca="true">IF(OR(C138="",AH138="Closed",AH138="Void – logged in error",AG138=""),"",IF(AG138&lt;TODAY(),"OVERDUE",IF(AG138-TODAY()&lt;='Start here'!$C$8,"Due soon","On track")))</f>
        <v/>
      </c>
      <c r="AJ138" s="29"/>
      <c r="AK138" s="29"/>
      <c r="AL138" s="30"/>
      <c r="AM138" s="37" t="str">
        <f aca="false">IF(AND(C138&lt;&gt;"",AH138&lt;&gt;"Closed",AH138&lt;&gt;"Void – logged in error",OR(AH138&lt;&gt;"",AD138&lt;&gt;"",AE138&lt;&gt;"",AF138&lt;&gt;"",AG138&lt;&gt;"")),ROW(),"")</f>
        <v/>
      </c>
    </row>
    <row r="139" customFormat="false" ht="30" hidden="false" customHeight="true" outlineLevel="0" collapsed="false">
      <c r="A139" s="28" t="str">
        <f aca="false">IF(C139="","","INC-"&amp;YEAR(C139)&amp;"-"&amp;TEXT(COUNTIFS($C$6:C139,"&gt;="&amp;DATE(YEAR(C139),1,1),$C$6:C139,"&lt;="&amp;DATE(YEAR(C139),12,31)),"000"))</f>
        <v/>
      </c>
      <c r="B139" s="29"/>
      <c r="C139" s="30"/>
      <c r="D139" s="31"/>
      <c r="E139" s="30"/>
      <c r="F139" s="29"/>
      <c r="G139" s="29"/>
      <c r="H139" s="29"/>
      <c r="I139" s="29"/>
      <c r="J139" s="29"/>
      <c r="K139" s="29"/>
      <c r="L139" s="29"/>
      <c r="M139" s="29"/>
      <c r="N139" s="29"/>
      <c r="O139" s="29"/>
      <c r="P139" s="29"/>
      <c r="Q139" s="32"/>
      <c r="R139" s="29"/>
      <c r="S139" s="29"/>
      <c r="T139" s="33" t="str">
        <f aca="false">IF(AH139="Void – logged in error","",IF(OR(C139="",S139=""),IF(C139="","","Decide"),IF(OR(S139="Not reportable",S139="Over-3-day injury (record only)"),"No","Yes")))</f>
        <v/>
      </c>
      <c r="U139" s="34" t="str">
        <f aca="false">IF(OR(C139="",S139=""),"",IF(S139="Over-7-day injury",C139+15,IF(OR(S139="Death",S139="Specified injury",S139="Member of public to hospital",S139="Dangerous occurrence"),C139+10,"")))</f>
        <v/>
      </c>
      <c r="V139" s="28" t="str">
        <f aca="true">IF(C139="","",IF(AH139="Void – logged in error","Void",IF(W139&lt;&gt;"","Done – reported",IF(S139="Occupational disease","REPORT NOW – on diagnosis",IF(ISNUMBER(U139),IF(U139&lt;TODAY(),"OVERDUE – report now",IF(U139=TODAY(),"DUE TODAY",IF(U139-TODAY()&lt;='Start here'!$C$7,"DUE in "&amp;(U139-TODAY())&amp;" days",IF(OR(S139="Death",S139="Specified injury",S139="Member of public to hospital",S139="Dangerous occurrence"),"REPORT without delay","Report by date shown")))),IF(AND(N(Q139)&gt;7,OR(S139="",S139="Not reportable",S139="Over-3-day injury (record only)")),"CHECK – over 7 days off",IF(S139="","Decide RIDDOR",IF(S139="Over-3-day injury (record only)","Record only","Not reportable"))))))))</f>
        <v/>
      </c>
      <c r="W139" s="30"/>
      <c r="X139" s="29"/>
      <c r="Y139" s="32"/>
      <c r="Z139" s="29"/>
      <c r="AA139" s="35"/>
      <c r="AB139" s="29"/>
      <c r="AC139" s="29"/>
      <c r="AD139" s="29"/>
      <c r="AE139" s="29"/>
      <c r="AF139" s="29"/>
      <c r="AG139" s="30"/>
      <c r="AH139" s="29"/>
      <c r="AI139" s="36" t="str">
        <f aca="true">IF(OR(C139="",AH139="Closed",AH139="Void – logged in error",AG139=""),"",IF(AG139&lt;TODAY(),"OVERDUE",IF(AG139-TODAY()&lt;='Start here'!$C$8,"Due soon","On track")))</f>
        <v/>
      </c>
      <c r="AJ139" s="29"/>
      <c r="AK139" s="29"/>
      <c r="AL139" s="30"/>
      <c r="AM139" s="37" t="str">
        <f aca="false">IF(AND(C139&lt;&gt;"",AH139&lt;&gt;"Closed",AH139&lt;&gt;"Void – logged in error",OR(AH139&lt;&gt;"",AD139&lt;&gt;"",AE139&lt;&gt;"",AF139&lt;&gt;"",AG139&lt;&gt;"")),ROW(),"")</f>
        <v/>
      </c>
    </row>
    <row r="140" customFormat="false" ht="30" hidden="false" customHeight="true" outlineLevel="0" collapsed="false">
      <c r="A140" s="28" t="str">
        <f aca="false">IF(C140="","","INC-"&amp;YEAR(C140)&amp;"-"&amp;TEXT(COUNTIFS($C$6:C140,"&gt;="&amp;DATE(YEAR(C140),1,1),$C$6:C140,"&lt;="&amp;DATE(YEAR(C140),12,31)),"000"))</f>
        <v/>
      </c>
      <c r="B140" s="29"/>
      <c r="C140" s="30"/>
      <c r="D140" s="31"/>
      <c r="E140" s="30"/>
      <c r="F140" s="29"/>
      <c r="G140" s="29"/>
      <c r="H140" s="29"/>
      <c r="I140" s="29"/>
      <c r="J140" s="29"/>
      <c r="K140" s="29"/>
      <c r="L140" s="29"/>
      <c r="M140" s="29"/>
      <c r="N140" s="29"/>
      <c r="O140" s="29"/>
      <c r="P140" s="29"/>
      <c r="Q140" s="32"/>
      <c r="R140" s="29"/>
      <c r="S140" s="29"/>
      <c r="T140" s="33" t="str">
        <f aca="false">IF(AH140="Void – logged in error","",IF(OR(C140="",S140=""),IF(C140="","","Decide"),IF(OR(S140="Not reportable",S140="Over-3-day injury (record only)"),"No","Yes")))</f>
        <v/>
      </c>
      <c r="U140" s="34" t="str">
        <f aca="false">IF(OR(C140="",S140=""),"",IF(S140="Over-7-day injury",C140+15,IF(OR(S140="Death",S140="Specified injury",S140="Member of public to hospital",S140="Dangerous occurrence"),C140+10,"")))</f>
        <v/>
      </c>
      <c r="V140" s="28" t="str">
        <f aca="true">IF(C140="","",IF(AH140="Void – logged in error","Void",IF(W140&lt;&gt;"","Done – reported",IF(S140="Occupational disease","REPORT NOW – on diagnosis",IF(ISNUMBER(U140),IF(U140&lt;TODAY(),"OVERDUE – report now",IF(U140=TODAY(),"DUE TODAY",IF(U140-TODAY()&lt;='Start here'!$C$7,"DUE in "&amp;(U140-TODAY())&amp;" days",IF(OR(S140="Death",S140="Specified injury",S140="Member of public to hospital",S140="Dangerous occurrence"),"REPORT without delay","Report by date shown")))),IF(AND(N(Q140)&gt;7,OR(S140="",S140="Not reportable",S140="Over-3-day injury (record only)")),"CHECK – over 7 days off",IF(S140="","Decide RIDDOR",IF(S140="Over-3-day injury (record only)","Record only","Not reportable"))))))))</f>
        <v/>
      </c>
      <c r="W140" s="30"/>
      <c r="X140" s="29"/>
      <c r="Y140" s="32"/>
      <c r="Z140" s="29"/>
      <c r="AA140" s="35"/>
      <c r="AB140" s="29"/>
      <c r="AC140" s="29"/>
      <c r="AD140" s="29"/>
      <c r="AE140" s="29"/>
      <c r="AF140" s="29"/>
      <c r="AG140" s="30"/>
      <c r="AH140" s="29"/>
      <c r="AI140" s="36" t="str">
        <f aca="true">IF(OR(C140="",AH140="Closed",AH140="Void – logged in error",AG140=""),"",IF(AG140&lt;TODAY(),"OVERDUE",IF(AG140-TODAY()&lt;='Start here'!$C$8,"Due soon","On track")))</f>
        <v/>
      </c>
      <c r="AJ140" s="29"/>
      <c r="AK140" s="29"/>
      <c r="AL140" s="30"/>
      <c r="AM140" s="37" t="str">
        <f aca="false">IF(AND(C140&lt;&gt;"",AH140&lt;&gt;"Closed",AH140&lt;&gt;"Void – logged in error",OR(AH140&lt;&gt;"",AD140&lt;&gt;"",AE140&lt;&gt;"",AF140&lt;&gt;"",AG140&lt;&gt;"")),ROW(),"")</f>
        <v/>
      </c>
    </row>
    <row r="141" customFormat="false" ht="30" hidden="false" customHeight="true" outlineLevel="0" collapsed="false">
      <c r="A141" s="28" t="str">
        <f aca="false">IF(C141="","","INC-"&amp;YEAR(C141)&amp;"-"&amp;TEXT(COUNTIFS($C$6:C141,"&gt;="&amp;DATE(YEAR(C141),1,1),$C$6:C141,"&lt;="&amp;DATE(YEAR(C141),12,31)),"000"))</f>
        <v/>
      </c>
      <c r="B141" s="29"/>
      <c r="C141" s="30"/>
      <c r="D141" s="31"/>
      <c r="E141" s="30"/>
      <c r="F141" s="29"/>
      <c r="G141" s="29"/>
      <c r="H141" s="29"/>
      <c r="I141" s="29"/>
      <c r="J141" s="29"/>
      <c r="K141" s="29"/>
      <c r="L141" s="29"/>
      <c r="M141" s="29"/>
      <c r="N141" s="29"/>
      <c r="O141" s="29"/>
      <c r="P141" s="29"/>
      <c r="Q141" s="32"/>
      <c r="R141" s="29"/>
      <c r="S141" s="29"/>
      <c r="T141" s="33" t="str">
        <f aca="false">IF(AH141="Void – logged in error","",IF(OR(C141="",S141=""),IF(C141="","","Decide"),IF(OR(S141="Not reportable",S141="Over-3-day injury (record only)"),"No","Yes")))</f>
        <v/>
      </c>
      <c r="U141" s="34" t="str">
        <f aca="false">IF(OR(C141="",S141=""),"",IF(S141="Over-7-day injury",C141+15,IF(OR(S141="Death",S141="Specified injury",S141="Member of public to hospital",S141="Dangerous occurrence"),C141+10,"")))</f>
        <v/>
      </c>
      <c r="V141" s="28" t="str">
        <f aca="true">IF(C141="","",IF(AH141="Void – logged in error","Void",IF(W141&lt;&gt;"","Done – reported",IF(S141="Occupational disease","REPORT NOW – on diagnosis",IF(ISNUMBER(U141),IF(U141&lt;TODAY(),"OVERDUE – report now",IF(U141=TODAY(),"DUE TODAY",IF(U141-TODAY()&lt;='Start here'!$C$7,"DUE in "&amp;(U141-TODAY())&amp;" days",IF(OR(S141="Death",S141="Specified injury",S141="Member of public to hospital",S141="Dangerous occurrence"),"REPORT without delay","Report by date shown")))),IF(AND(N(Q141)&gt;7,OR(S141="",S141="Not reportable",S141="Over-3-day injury (record only)")),"CHECK – over 7 days off",IF(S141="","Decide RIDDOR",IF(S141="Over-3-day injury (record only)","Record only","Not reportable"))))))))</f>
        <v/>
      </c>
      <c r="W141" s="30"/>
      <c r="X141" s="29"/>
      <c r="Y141" s="32"/>
      <c r="Z141" s="29"/>
      <c r="AA141" s="35"/>
      <c r="AB141" s="29"/>
      <c r="AC141" s="29"/>
      <c r="AD141" s="29"/>
      <c r="AE141" s="29"/>
      <c r="AF141" s="29"/>
      <c r="AG141" s="30"/>
      <c r="AH141" s="29"/>
      <c r="AI141" s="36" t="str">
        <f aca="true">IF(OR(C141="",AH141="Closed",AH141="Void – logged in error",AG141=""),"",IF(AG141&lt;TODAY(),"OVERDUE",IF(AG141-TODAY()&lt;='Start here'!$C$8,"Due soon","On track")))</f>
        <v/>
      </c>
      <c r="AJ141" s="29"/>
      <c r="AK141" s="29"/>
      <c r="AL141" s="30"/>
      <c r="AM141" s="37" t="str">
        <f aca="false">IF(AND(C141&lt;&gt;"",AH141&lt;&gt;"Closed",AH141&lt;&gt;"Void – logged in error",OR(AH141&lt;&gt;"",AD141&lt;&gt;"",AE141&lt;&gt;"",AF141&lt;&gt;"",AG141&lt;&gt;"")),ROW(),"")</f>
        <v/>
      </c>
    </row>
    <row r="142" customFormat="false" ht="30" hidden="false" customHeight="true" outlineLevel="0" collapsed="false">
      <c r="A142" s="28" t="str">
        <f aca="false">IF(C142="","","INC-"&amp;YEAR(C142)&amp;"-"&amp;TEXT(COUNTIFS($C$6:C142,"&gt;="&amp;DATE(YEAR(C142),1,1),$C$6:C142,"&lt;="&amp;DATE(YEAR(C142),12,31)),"000"))</f>
        <v/>
      </c>
      <c r="B142" s="29"/>
      <c r="C142" s="30"/>
      <c r="D142" s="31"/>
      <c r="E142" s="30"/>
      <c r="F142" s="29"/>
      <c r="G142" s="29"/>
      <c r="H142" s="29"/>
      <c r="I142" s="29"/>
      <c r="J142" s="29"/>
      <c r="K142" s="29"/>
      <c r="L142" s="29"/>
      <c r="M142" s="29"/>
      <c r="N142" s="29"/>
      <c r="O142" s="29"/>
      <c r="P142" s="29"/>
      <c r="Q142" s="32"/>
      <c r="R142" s="29"/>
      <c r="S142" s="29"/>
      <c r="T142" s="33" t="str">
        <f aca="false">IF(AH142="Void – logged in error","",IF(OR(C142="",S142=""),IF(C142="","","Decide"),IF(OR(S142="Not reportable",S142="Over-3-day injury (record only)"),"No","Yes")))</f>
        <v/>
      </c>
      <c r="U142" s="34" t="str">
        <f aca="false">IF(OR(C142="",S142=""),"",IF(S142="Over-7-day injury",C142+15,IF(OR(S142="Death",S142="Specified injury",S142="Member of public to hospital",S142="Dangerous occurrence"),C142+10,"")))</f>
        <v/>
      </c>
      <c r="V142" s="28" t="str">
        <f aca="true">IF(C142="","",IF(AH142="Void – logged in error","Void",IF(W142&lt;&gt;"","Done – reported",IF(S142="Occupational disease","REPORT NOW – on diagnosis",IF(ISNUMBER(U142),IF(U142&lt;TODAY(),"OVERDUE – report now",IF(U142=TODAY(),"DUE TODAY",IF(U142-TODAY()&lt;='Start here'!$C$7,"DUE in "&amp;(U142-TODAY())&amp;" days",IF(OR(S142="Death",S142="Specified injury",S142="Member of public to hospital",S142="Dangerous occurrence"),"REPORT without delay","Report by date shown")))),IF(AND(N(Q142)&gt;7,OR(S142="",S142="Not reportable",S142="Over-3-day injury (record only)")),"CHECK – over 7 days off",IF(S142="","Decide RIDDOR",IF(S142="Over-3-day injury (record only)","Record only","Not reportable"))))))))</f>
        <v/>
      </c>
      <c r="W142" s="30"/>
      <c r="X142" s="29"/>
      <c r="Y142" s="32"/>
      <c r="Z142" s="29"/>
      <c r="AA142" s="35"/>
      <c r="AB142" s="29"/>
      <c r="AC142" s="29"/>
      <c r="AD142" s="29"/>
      <c r="AE142" s="29"/>
      <c r="AF142" s="29"/>
      <c r="AG142" s="30"/>
      <c r="AH142" s="29"/>
      <c r="AI142" s="36" t="str">
        <f aca="true">IF(OR(C142="",AH142="Closed",AH142="Void – logged in error",AG142=""),"",IF(AG142&lt;TODAY(),"OVERDUE",IF(AG142-TODAY()&lt;='Start here'!$C$8,"Due soon","On track")))</f>
        <v/>
      </c>
      <c r="AJ142" s="29"/>
      <c r="AK142" s="29"/>
      <c r="AL142" s="30"/>
      <c r="AM142" s="37" t="str">
        <f aca="false">IF(AND(C142&lt;&gt;"",AH142&lt;&gt;"Closed",AH142&lt;&gt;"Void – logged in error",OR(AH142&lt;&gt;"",AD142&lt;&gt;"",AE142&lt;&gt;"",AF142&lt;&gt;"",AG142&lt;&gt;"")),ROW(),"")</f>
        <v/>
      </c>
    </row>
    <row r="143" customFormat="false" ht="30" hidden="false" customHeight="true" outlineLevel="0" collapsed="false">
      <c r="A143" s="28" t="str">
        <f aca="false">IF(C143="","","INC-"&amp;YEAR(C143)&amp;"-"&amp;TEXT(COUNTIFS($C$6:C143,"&gt;="&amp;DATE(YEAR(C143),1,1),$C$6:C143,"&lt;="&amp;DATE(YEAR(C143),12,31)),"000"))</f>
        <v/>
      </c>
      <c r="B143" s="29"/>
      <c r="C143" s="30"/>
      <c r="D143" s="31"/>
      <c r="E143" s="30"/>
      <c r="F143" s="29"/>
      <c r="G143" s="29"/>
      <c r="H143" s="29"/>
      <c r="I143" s="29"/>
      <c r="J143" s="29"/>
      <c r="K143" s="29"/>
      <c r="L143" s="29"/>
      <c r="M143" s="29"/>
      <c r="N143" s="29"/>
      <c r="O143" s="29"/>
      <c r="P143" s="29"/>
      <c r="Q143" s="32"/>
      <c r="R143" s="29"/>
      <c r="S143" s="29"/>
      <c r="T143" s="33" t="str">
        <f aca="false">IF(AH143="Void – logged in error","",IF(OR(C143="",S143=""),IF(C143="","","Decide"),IF(OR(S143="Not reportable",S143="Over-3-day injury (record only)"),"No","Yes")))</f>
        <v/>
      </c>
      <c r="U143" s="34" t="str">
        <f aca="false">IF(OR(C143="",S143=""),"",IF(S143="Over-7-day injury",C143+15,IF(OR(S143="Death",S143="Specified injury",S143="Member of public to hospital",S143="Dangerous occurrence"),C143+10,"")))</f>
        <v/>
      </c>
      <c r="V143" s="28" t="str">
        <f aca="true">IF(C143="","",IF(AH143="Void – logged in error","Void",IF(W143&lt;&gt;"","Done – reported",IF(S143="Occupational disease","REPORT NOW – on diagnosis",IF(ISNUMBER(U143),IF(U143&lt;TODAY(),"OVERDUE – report now",IF(U143=TODAY(),"DUE TODAY",IF(U143-TODAY()&lt;='Start here'!$C$7,"DUE in "&amp;(U143-TODAY())&amp;" days",IF(OR(S143="Death",S143="Specified injury",S143="Member of public to hospital",S143="Dangerous occurrence"),"REPORT without delay","Report by date shown")))),IF(AND(N(Q143)&gt;7,OR(S143="",S143="Not reportable",S143="Over-3-day injury (record only)")),"CHECK – over 7 days off",IF(S143="","Decide RIDDOR",IF(S143="Over-3-day injury (record only)","Record only","Not reportable"))))))))</f>
        <v/>
      </c>
      <c r="W143" s="30"/>
      <c r="X143" s="29"/>
      <c r="Y143" s="32"/>
      <c r="Z143" s="29"/>
      <c r="AA143" s="35"/>
      <c r="AB143" s="29"/>
      <c r="AC143" s="29"/>
      <c r="AD143" s="29"/>
      <c r="AE143" s="29"/>
      <c r="AF143" s="29"/>
      <c r="AG143" s="30"/>
      <c r="AH143" s="29"/>
      <c r="AI143" s="36" t="str">
        <f aca="true">IF(OR(C143="",AH143="Closed",AH143="Void – logged in error",AG143=""),"",IF(AG143&lt;TODAY(),"OVERDUE",IF(AG143-TODAY()&lt;='Start here'!$C$8,"Due soon","On track")))</f>
        <v/>
      </c>
      <c r="AJ143" s="29"/>
      <c r="AK143" s="29"/>
      <c r="AL143" s="30"/>
      <c r="AM143" s="37" t="str">
        <f aca="false">IF(AND(C143&lt;&gt;"",AH143&lt;&gt;"Closed",AH143&lt;&gt;"Void – logged in error",OR(AH143&lt;&gt;"",AD143&lt;&gt;"",AE143&lt;&gt;"",AF143&lt;&gt;"",AG143&lt;&gt;"")),ROW(),"")</f>
        <v/>
      </c>
    </row>
    <row r="144" customFormat="false" ht="30" hidden="false" customHeight="true" outlineLevel="0" collapsed="false">
      <c r="A144" s="28" t="str">
        <f aca="false">IF(C144="","","INC-"&amp;YEAR(C144)&amp;"-"&amp;TEXT(COUNTIFS($C$6:C144,"&gt;="&amp;DATE(YEAR(C144),1,1),$C$6:C144,"&lt;="&amp;DATE(YEAR(C144),12,31)),"000"))</f>
        <v/>
      </c>
      <c r="B144" s="29"/>
      <c r="C144" s="30"/>
      <c r="D144" s="31"/>
      <c r="E144" s="30"/>
      <c r="F144" s="29"/>
      <c r="G144" s="29"/>
      <c r="H144" s="29"/>
      <c r="I144" s="29"/>
      <c r="J144" s="29"/>
      <c r="K144" s="29"/>
      <c r="L144" s="29"/>
      <c r="M144" s="29"/>
      <c r="N144" s="29"/>
      <c r="O144" s="29"/>
      <c r="P144" s="29"/>
      <c r="Q144" s="32"/>
      <c r="R144" s="29"/>
      <c r="S144" s="29"/>
      <c r="T144" s="33" t="str">
        <f aca="false">IF(AH144="Void – logged in error","",IF(OR(C144="",S144=""),IF(C144="","","Decide"),IF(OR(S144="Not reportable",S144="Over-3-day injury (record only)"),"No","Yes")))</f>
        <v/>
      </c>
      <c r="U144" s="34" t="str">
        <f aca="false">IF(OR(C144="",S144=""),"",IF(S144="Over-7-day injury",C144+15,IF(OR(S144="Death",S144="Specified injury",S144="Member of public to hospital",S144="Dangerous occurrence"),C144+10,"")))</f>
        <v/>
      </c>
      <c r="V144" s="28" t="str">
        <f aca="true">IF(C144="","",IF(AH144="Void – logged in error","Void",IF(W144&lt;&gt;"","Done – reported",IF(S144="Occupational disease","REPORT NOW – on diagnosis",IF(ISNUMBER(U144),IF(U144&lt;TODAY(),"OVERDUE – report now",IF(U144=TODAY(),"DUE TODAY",IF(U144-TODAY()&lt;='Start here'!$C$7,"DUE in "&amp;(U144-TODAY())&amp;" days",IF(OR(S144="Death",S144="Specified injury",S144="Member of public to hospital",S144="Dangerous occurrence"),"REPORT without delay","Report by date shown")))),IF(AND(N(Q144)&gt;7,OR(S144="",S144="Not reportable",S144="Over-3-day injury (record only)")),"CHECK – over 7 days off",IF(S144="","Decide RIDDOR",IF(S144="Over-3-day injury (record only)","Record only","Not reportable"))))))))</f>
        <v/>
      </c>
      <c r="W144" s="30"/>
      <c r="X144" s="29"/>
      <c r="Y144" s="32"/>
      <c r="Z144" s="29"/>
      <c r="AA144" s="35"/>
      <c r="AB144" s="29"/>
      <c r="AC144" s="29"/>
      <c r="AD144" s="29"/>
      <c r="AE144" s="29"/>
      <c r="AF144" s="29"/>
      <c r="AG144" s="30"/>
      <c r="AH144" s="29"/>
      <c r="AI144" s="36" t="str">
        <f aca="true">IF(OR(C144="",AH144="Closed",AH144="Void – logged in error",AG144=""),"",IF(AG144&lt;TODAY(),"OVERDUE",IF(AG144-TODAY()&lt;='Start here'!$C$8,"Due soon","On track")))</f>
        <v/>
      </c>
      <c r="AJ144" s="29"/>
      <c r="AK144" s="29"/>
      <c r="AL144" s="30"/>
      <c r="AM144" s="37" t="str">
        <f aca="false">IF(AND(C144&lt;&gt;"",AH144&lt;&gt;"Closed",AH144&lt;&gt;"Void – logged in error",OR(AH144&lt;&gt;"",AD144&lt;&gt;"",AE144&lt;&gt;"",AF144&lt;&gt;"",AG144&lt;&gt;"")),ROW(),"")</f>
        <v/>
      </c>
    </row>
    <row r="145" customFormat="false" ht="30" hidden="false" customHeight="true" outlineLevel="0" collapsed="false">
      <c r="A145" s="28" t="str">
        <f aca="false">IF(C145="","","INC-"&amp;YEAR(C145)&amp;"-"&amp;TEXT(COUNTIFS($C$6:C145,"&gt;="&amp;DATE(YEAR(C145),1,1),$C$6:C145,"&lt;="&amp;DATE(YEAR(C145),12,31)),"000"))</f>
        <v/>
      </c>
      <c r="B145" s="29"/>
      <c r="C145" s="30"/>
      <c r="D145" s="31"/>
      <c r="E145" s="30"/>
      <c r="F145" s="29"/>
      <c r="G145" s="29"/>
      <c r="H145" s="29"/>
      <c r="I145" s="29"/>
      <c r="J145" s="29"/>
      <c r="K145" s="29"/>
      <c r="L145" s="29"/>
      <c r="M145" s="29"/>
      <c r="N145" s="29"/>
      <c r="O145" s="29"/>
      <c r="P145" s="29"/>
      <c r="Q145" s="32"/>
      <c r="R145" s="29"/>
      <c r="S145" s="29"/>
      <c r="T145" s="33" t="str">
        <f aca="false">IF(AH145="Void – logged in error","",IF(OR(C145="",S145=""),IF(C145="","","Decide"),IF(OR(S145="Not reportable",S145="Over-3-day injury (record only)"),"No","Yes")))</f>
        <v/>
      </c>
      <c r="U145" s="34" t="str">
        <f aca="false">IF(OR(C145="",S145=""),"",IF(S145="Over-7-day injury",C145+15,IF(OR(S145="Death",S145="Specified injury",S145="Member of public to hospital",S145="Dangerous occurrence"),C145+10,"")))</f>
        <v/>
      </c>
      <c r="V145" s="28" t="str">
        <f aca="true">IF(C145="","",IF(AH145="Void – logged in error","Void",IF(W145&lt;&gt;"","Done – reported",IF(S145="Occupational disease","REPORT NOW – on diagnosis",IF(ISNUMBER(U145),IF(U145&lt;TODAY(),"OVERDUE – report now",IF(U145=TODAY(),"DUE TODAY",IF(U145-TODAY()&lt;='Start here'!$C$7,"DUE in "&amp;(U145-TODAY())&amp;" days",IF(OR(S145="Death",S145="Specified injury",S145="Member of public to hospital",S145="Dangerous occurrence"),"REPORT without delay","Report by date shown")))),IF(AND(N(Q145)&gt;7,OR(S145="",S145="Not reportable",S145="Over-3-day injury (record only)")),"CHECK – over 7 days off",IF(S145="","Decide RIDDOR",IF(S145="Over-3-day injury (record only)","Record only","Not reportable"))))))))</f>
        <v/>
      </c>
      <c r="W145" s="30"/>
      <c r="X145" s="29"/>
      <c r="Y145" s="32"/>
      <c r="Z145" s="29"/>
      <c r="AA145" s="35"/>
      <c r="AB145" s="29"/>
      <c r="AC145" s="29"/>
      <c r="AD145" s="29"/>
      <c r="AE145" s="29"/>
      <c r="AF145" s="29"/>
      <c r="AG145" s="30"/>
      <c r="AH145" s="29"/>
      <c r="AI145" s="36" t="str">
        <f aca="true">IF(OR(C145="",AH145="Closed",AH145="Void – logged in error",AG145=""),"",IF(AG145&lt;TODAY(),"OVERDUE",IF(AG145-TODAY()&lt;='Start here'!$C$8,"Due soon","On track")))</f>
        <v/>
      </c>
      <c r="AJ145" s="29"/>
      <c r="AK145" s="29"/>
      <c r="AL145" s="30"/>
      <c r="AM145" s="37" t="str">
        <f aca="false">IF(AND(C145&lt;&gt;"",AH145&lt;&gt;"Closed",AH145&lt;&gt;"Void – logged in error",OR(AH145&lt;&gt;"",AD145&lt;&gt;"",AE145&lt;&gt;"",AF145&lt;&gt;"",AG145&lt;&gt;"")),ROW(),"")</f>
        <v/>
      </c>
    </row>
    <row r="146" customFormat="false" ht="30" hidden="false" customHeight="true" outlineLevel="0" collapsed="false">
      <c r="A146" s="28" t="str">
        <f aca="false">IF(C146="","","INC-"&amp;YEAR(C146)&amp;"-"&amp;TEXT(COUNTIFS($C$6:C146,"&gt;="&amp;DATE(YEAR(C146),1,1),$C$6:C146,"&lt;="&amp;DATE(YEAR(C146),12,31)),"000"))</f>
        <v/>
      </c>
      <c r="B146" s="29"/>
      <c r="C146" s="30"/>
      <c r="D146" s="31"/>
      <c r="E146" s="30"/>
      <c r="F146" s="29"/>
      <c r="G146" s="29"/>
      <c r="H146" s="29"/>
      <c r="I146" s="29"/>
      <c r="J146" s="29"/>
      <c r="K146" s="29"/>
      <c r="L146" s="29"/>
      <c r="M146" s="29"/>
      <c r="N146" s="29"/>
      <c r="O146" s="29"/>
      <c r="P146" s="29"/>
      <c r="Q146" s="32"/>
      <c r="R146" s="29"/>
      <c r="S146" s="29"/>
      <c r="T146" s="33" t="str">
        <f aca="false">IF(AH146="Void – logged in error","",IF(OR(C146="",S146=""),IF(C146="","","Decide"),IF(OR(S146="Not reportable",S146="Over-3-day injury (record only)"),"No","Yes")))</f>
        <v/>
      </c>
      <c r="U146" s="34" t="str">
        <f aca="false">IF(OR(C146="",S146=""),"",IF(S146="Over-7-day injury",C146+15,IF(OR(S146="Death",S146="Specified injury",S146="Member of public to hospital",S146="Dangerous occurrence"),C146+10,"")))</f>
        <v/>
      </c>
      <c r="V146" s="28" t="str">
        <f aca="true">IF(C146="","",IF(AH146="Void – logged in error","Void",IF(W146&lt;&gt;"","Done – reported",IF(S146="Occupational disease","REPORT NOW – on diagnosis",IF(ISNUMBER(U146),IF(U146&lt;TODAY(),"OVERDUE – report now",IF(U146=TODAY(),"DUE TODAY",IF(U146-TODAY()&lt;='Start here'!$C$7,"DUE in "&amp;(U146-TODAY())&amp;" days",IF(OR(S146="Death",S146="Specified injury",S146="Member of public to hospital",S146="Dangerous occurrence"),"REPORT without delay","Report by date shown")))),IF(AND(N(Q146)&gt;7,OR(S146="",S146="Not reportable",S146="Over-3-day injury (record only)")),"CHECK – over 7 days off",IF(S146="","Decide RIDDOR",IF(S146="Over-3-day injury (record only)","Record only","Not reportable"))))))))</f>
        <v/>
      </c>
      <c r="W146" s="30"/>
      <c r="X146" s="29"/>
      <c r="Y146" s="32"/>
      <c r="Z146" s="29"/>
      <c r="AA146" s="35"/>
      <c r="AB146" s="29"/>
      <c r="AC146" s="29"/>
      <c r="AD146" s="29"/>
      <c r="AE146" s="29"/>
      <c r="AF146" s="29"/>
      <c r="AG146" s="30"/>
      <c r="AH146" s="29"/>
      <c r="AI146" s="36" t="str">
        <f aca="true">IF(OR(C146="",AH146="Closed",AH146="Void – logged in error",AG146=""),"",IF(AG146&lt;TODAY(),"OVERDUE",IF(AG146-TODAY()&lt;='Start here'!$C$8,"Due soon","On track")))</f>
        <v/>
      </c>
      <c r="AJ146" s="29"/>
      <c r="AK146" s="29"/>
      <c r="AL146" s="30"/>
      <c r="AM146" s="37" t="str">
        <f aca="false">IF(AND(C146&lt;&gt;"",AH146&lt;&gt;"Closed",AH146&lt;&gt;"Void – logged in error",OR(AH146&lt;&gt;"",AD146&lt;&gt;"",AE146&lt;&gt;"",AF146&lt;&gt;"",AG146&lt;&gt;"")),ROW(),"")</f>
        <v/>
      </c>
    </row>
    <row r="147" customFormat="false" ht="30" hidden="false" customHeight="true" outlineLevel="0" collapsed="false">
      <c r="A147" s="28" t="str">
        <f aca="false">IF(C147="","","INC-"&amp;YEAR(C147)&amp;"-"&amp;TEXT(COUNTIFS($C$6:C147,"&gt;="&amp;DATE(YEAR(C147),1,1),$C$6:C147,"&lt;="&amp;DATE(YEAR(C147),12,31)),"000"))</f>
        <v/>
      </c>
      <c r="B147" s="29"/>
      <c r="C147" s="30"/>
      <c r="D147" s="31"/>
      <c r="E147" s="30"/>
      <c r="F147" s="29"/>
      <c r="G147" s="29"/>
      <c r="H147" s="29"/>
      <c r="I147" s="29"/>
      <c r="J147" s="29"/>
      <c r="K147" s="29"/>
      <c r="L147" s="29"/>
      <c r="M147" s="29"/>
      <c r="N147" s="29"/>
      <c r="O147" s="29"/>
      <c r="P147" s="29"/>
      <c r="Q147" s="32"/>
      <c r="R147" s="29"/>
      <c r="S147" s="29"/>
      <c r="T147" s="33" t="str">
        <f aca="false">IF(AH147="Void – logged in error","",IF(OR(C147="",S147=""),IF(C147="","","Decide"),IF(OR(S147="Not reportable",S147="Over-3-day injury (record only)"),"No","Yes")))</f>
        <v/>
      </c>
      <c r="U147" s="34" t="str">
        <f aca="false">IF(OR(C147="",S147=""),"",IF(S147="Over-7-day injury",C147+15,IF(OR(S147="Death",S147="Specified injury",S147="Member of public to hospital",S147="Dangerous occurrence"),C147+10,"")))</f>
        <v/>
      </c>
      <c r="V147" s="28" t="str">
        <f aca="true">IF(C147="","",IF(AH147="Void – logged in error","Void",IF(W147&lt;&gt;"","Done – reported",IF(S147="Occupational disease","REPORT NOW – on diagnosis",IF(ISNUMBER(U147),IF(U147&lt;TODAY(),"OVERDUE – report now",IF(U147=TODAY(),"DUE TODAY",IF(U147-TODAY()&lt;='Start here'!$C$7,"DUE in "&amp;(U147-TODAY())&amp;" days",IF(OR(S147="Death",S147="Specified injury",S147="Member of public to hospital",S147="Dangerous occurrence"),"REPORT without delay","Report by date shown")))),IF(AND(N(Q147)&gt;7,OR(S147="",S147="Not reportable",S147="Over-3-day injury (record only)")),"CHECK – over 7 days off",IF(S147="","Decide RIDDOR",IF(S147="Over-3-day injury (record only)","Record only","Not reportable"))))))))</f>
        <v/>
      </c>
      <c r="W147" s="30"/>
      <c r="X147" s="29"/>
      <c r="Y147" s="32"/>
      <c r="Z147" s="29"/>
      <c r="AA147" s="35"/>
      <c r="AB147" s="29"/>
      <c r="AC147" s="29"/>
      <c r="AD147" s="29"/>
      <c r="AE147" s="29"/>
      <c r="AF147" s="29"/>
      <c r="AG147" s="30"/>
      <c r="AH147" s="29"/>
      <c r="AI147" s="36" t="str">
        <f aca="true">IF(OR(C147="",AH147="Closed",AH147="Void – logged in error",AG147=""),"",IF(AG147&lt;TODAY(),"OVERDUE",IF(AG147-TODAY()&lt;='Start here'!$C$8,"Due soon","On track")))</f>
        <v/>
      </c>
      <c r="AJ147" s="29"/>
      <c r="AK147" s="29"/>
      <c r="AL147" s="30"/>
      <c r="AM147" s="37" t="str">
        <f aca="false">IF(AND(C147&lt;&gt;"",AH147&lt;&gt;"Closed",AH147&lt;&gt;"Void – logged in error",OR(AH147&lt;&gt;"",AD147&lt;&gt;"",AE147&lt;&gt;"",AF147&lt;&gt;"",AG147&lt;&gt;"")),ROW(),"")</f>
        <v/>
      </c>
    </row>
    <row r="148" customFormat="false" ht="30" hidden="false" customHeight="true" outlineLevel="0" collapsed="false">
      <c r="A148" s="28" t="str">
        <f aca="false">IF(C148="","","INC-"&amp;YEAR(C148)&amp;"-"&amp;TEXT(COUNTIFS($C$6:C148,"&gt;="&amp;DATE(YEAR(C148),1,1),$C$6:C148,"&lt;="&amp;DATE(YEAR(C148),12,31)),"000"))</f>
        <v/>
      </c>
      <c r="B148" s="29"/>
      <c r="C148" s="30"/>
      <c r="D148" s="31"/>
      <c r="E148" s="30"/>
      <c r="F148" s="29"/>
      <c r="G148" s="29"/>
      <c r="H148" s="29"/>
      <c r="I148" s="29"/>
      <c r="J148" s="29"/>
      <c r="K148" s="29"/>
      <c r="L148" s="29"/>
      <c r="M148" s="29"/>
      <c r="N148" s="29"/>
      <c r="O148" s="29"/>
      <c r="P148" s="29"/>
      <c r="Q148" s="32"/>
      <c r="R148" s="29"/>
      <c r="S148" s="29"/>
      <c r="T148" s="33" t="str">
        <f aca="false">IF(AH148="Void – logged in error","",IF(OR(C148="",S148=""),IF(C148="","","Decide"),IF(OR(S148="Not reportable",S148="Over-3-day injury (record only)"),"No","Yes")))</f>
        <v/>
      </c>
      <c r="U148" s="34" t="str">
        <f aca="false">IF(OR(C148="",S148=""),"",IF(S148="Over-7-day injury",C148+15,IF(OR(S148="Death",S148="Specified injury",S148="Member of public to hospital",S148="Dangerous occurrence"),C148+10,"")))</f>
        <v/>
      </c>
      <c r="V148" s="28" t="str">
        <f aca="true">IF(C148="","",IF(AH148="Void – logged in error","Void",IF(W148&lt;&gt;"","Done – reported",IF(S148="Occupational disease","REPORT NOW – on diagnosis",IF(ISNUMBER(U148),IF(U148&lt;TODAY(),"OVERDUE – report now",IF(U148=TODAY(),"DUE TODAY",IF(U148-TODAY()&lt;='Start here'!$C$7,"DUE in "&amp;(U148-TODAY())&amp;" days",IF(OR(S148="Death",S148="Specified injury",S148="Member of public to hospital",S148="Dangerous occurrence"),"REPORT without delay","Report by date shown")))),IF(AND(N(Q148)&gt;7,OR(S148="",S148="Not reportable",S148="Over-3-day injury (record only)")),"CHECK – over 7 days off",IF(S148="","Decide RIDDOR",IF(S148="Over-3-day injury (record only)","Record only","Not reportable"))))))))</f>
        <v/>
      </c>
      <c r="W148" s="30"/>
      <c r="X148" s="29"/>
      <c r="Y148" s="32"/>
      <c r="Z148" s="29"/>
      <c r="AA148" s="35"/>
      <c r="AB148" s="29"/>
      <c r="AC148" s="29"/>
      <c r="AD148" s="29"/>
      <c r="AE148" s="29"/>
      <c r="AF148" s="29"/>
      <c r="AG148" s="30"/>
      <c r="AH148" s="29"/>
      <c r="AI148" s="36" t="str">
        <f aca="true">IF(OR(C148="",AH148="Closed",AH148="Void – logged in error",AG148=""),"",IF(AG148&lt;TODAY(),"OVERDUE",IF(AG148-TODAY()&lt;='Start here'!$C$8,"Due soon","On track")))</f>
        <v/>
      </c>
      <c r="AJ148" s="29"/>
      <c r="AK148" s="29"/>
      <c r="AL148" s="30"/>
      <c r="AM148" s="37" t="str">
        <f aca="false">IF(AND(C148&lt;&gt;"",AH148&lt;&gt;"Closed",AH148&lt;&gt;"Void – logged in error",OR(AH148&lt;&gt;"",AD148&lt;&gt;"",AE148&lt;&gt;"",AF148&lt;&gt;"",AG148&lt;&gt;"")),ROW(),"")</f>
        <v/>
      </c>
    </row>
    <row r="149" customFormat="false" ht="30" hidden="false" customHeight="true" outlineLevel="0" collapsed="false">
      <c r="A149" s="28" t="str">
        <f aca="false">IF(C149="","","INC-"&amp;YEAR(C149)&amp;"-"&amp;TEXT(COUNTIFS($C$6:C149,"&gt;="&amp;DATE(YEAR(C149),1,1),$C$6:C149,"&lt;="&amp;DATE(YEAR(C149),12,31)),"000"))</f>
        <v/>
      </c>
      <c r="B149" s="29"/>
      <c r="C149" s="30"/>
      <c r="D149" s="31"/>
      <c r="E149" s="30"/>
      <c r="F149" s="29"/>
      <c r="G149" s="29"/>
      <c r="H149" s="29"/>
      <c r="I149" s="29"/>
      <c r="J149" s="29"/>
      <c r="K149" s="29"/>
      <c r="L149" s="29"/>
      <c r="M149" s="29"/>
      <c r="N149" s="29"/>
      <c r="O149" s="29"/>
      <c r="P149" s="29"/>
      <c r="Q149" s="32"/>
      <c r="R149" s="29"/>
      <c r="S149" s="29"/>
      <c r="T149" s="33" t="str">
        <f aca="false">IF(AH149="Void – logged in error","",IF(OR(C149="",S149=""),IF(C149="","","Decide"),IF(OR(S149="Not reportable",S149="Over-3-day injury (record only)"),"No","Yes")))</f>
        <v/>
      </c>
      <c r="U149" s="34" t="str">
        <f aca="false">IF(OR(C149="",S149=""),"",IF(S149="Over-7-day injury",C149+15,IF(OR(S149="Death",S149="Specified injury",S149="Member of public to hospital",S149="Dangerous occurrence"),C149+10,"")))</f>
        <v/>
      </c>
      <c r="V149" s="28" t="str">
        <f aca="true">IF(C149="","",IF(AH149="Void – logged in error","Void",IF(W149&lt;&gt;"","Done – reported",IF(S149="Occupational disease","REPORT NOW – on diagnosis",IF(ISNUMBER(U149),IF(U149&lt;TODAY(),"OVERDUE – report now",IF(U149=TODAY(),"DUE TODAY",IF(U149-TODAY()&lt;='Start here'!$C$7,"DUE in "&amp;(U149-TODAY())&amp;" days",IF(OR(S149="Death",S149="Specified injury",S149="Member of public to hospital",S149="Dangerous occurrence"),"REPORT without delay","Report by date shown")))),IF(AND(N(Q149)&gt;7,OR(S149="",S149="Not reportable",S149="Over-3-day injury (record only)")),"CHECK – over 7 days off",IF(S149="","Decide RIDDOR",IF(S149="Over-3-day injury (record only)","Record only","Not reportable"))))))))</f>
        <v/>
      </c>
      <c r="W149" s="30"/>
      <c r="X149" s="29"/>
      <c r="Y149" s="32"/>
      <c r="Z149" s="29"/>
      <c r="AA149" s="35"/>
      <c r="AB149" s="29"/>
      <c r="AC149" s="29"/>
      <c r="AD149" s="29"/>
      <c r="AE149" s="29"/>
      <c r="AF149" s="29"/>
      <c r="AG149" s="30"/>
      <c r="AH149" s="29"/>
      <c r="AI149" s="36" t="str">
        <f aca="true">IF(OR(C149="",AH149="Closed",AH149="Void – logged in error",AG149=""),"",IF(AG149&lt;TODAY(),"OVERDUE",IF(AG149-TODAY()&lt;='Start here'!$C$8,"Due soon","On track")))</f>
        <v/>
      </c>
      <c r="AJ149" s="29"/>
      <c r="AK149" s="29"/>
      <c r="AL149" s="30"/>
      <c r="AM149" s="37" t="str">
        <f aca="false">IF(AND(C149&lt;&gt;"",AH149&lt;&gt;"Closed",AH149&lt;&gt;"Void – logged in error",OR(AH149&lt;&gt;"",AD149&lt;&gt;"",AE149&lt;&gt;"",AF149&lt;&gt;"",AG149&lt;&gt;"")),ROW(),"")</f>
        <v/>
      </c>
    </row>
    <row r="150" customFormat="false" ht="30" hidden="false" customHeight="true" outlineLevel="0" collapsed="false">
      <c r="A150" s="28" t="str">
        <f aca="false">IF(C150="","","INC-"&amp;YEAR(C150)&amp;"-"&amp;TEXT(COUNTIFS($C$6:C150,"&gt;="&amp;DATE(YEAR(C150),1,1),$C$6:C150,"&lt;="&amp;DATE(YEAR(C150),12,31)),"000"))</f>
        <v/>
      </c>
      <c r="B150" s="29"/>
      <c r="C150" s="30"/>
      <c r="D150" s="31"/>
      <c r="E150" s="30"/>
      <c r="F150" s="29"/>
      <c r="G150" s="29"/>
      <c r="H150" s="29"/>
      <c r="I150" s="29"/>
      <c r="J150" s="29"/>
      <c r="K150" s="29"/>
      <c r="L150" s="29"/>
      <c r="M150" s="29"/>
      <c r="N150" s="29"/>
      <c r="O150" s="29"/>
      <c r="P150" s="29"/>
      <c r="Q150" s="32"/>
      <c r="R150" s="29"/>
      <c r="S150" s="29"/>
      <c r="T150" s="33" t="str">
        <f aca="false">IF(AH150="Void – logged in error","",IF(OR(C150="",S150=""),IF(C150="","","Decide"),IF(OR(S150="Not reportable",S150="Over-3-day injury (record only)"),"No","Yes")))</f>
        <v/>
      </c>
      <c r="U150" s="34" t="str">
        <f aca="false">IF(OR(C150="",S150=""),"",IF(S150="Over-7-day injury",C150+15,IF(OR(S150="Death",S150="Specified injury",S150="Member of public to hospital",S150="Dangerous occurrence"),C150+10,"")))</f>
        <v/>
      </c>
      <c r="V150" s="28" t="str">
        <f aca="true">IF(C150="","",IF(AH150="Void – logged in error","Void",IF(W150&lt;&gt;"","Done – reported",IF(S150="Occupational disease","REPORT NOW – on diagnosis",IF(ISNUMBER(U150),IF(U150&lt;TODAY(),"OVERDUE – report now",IF(U150=TODAY(),"DUE TODAY",IF(U150-TODAY()&lt;='Start here'!$C$7,"DUE in "&amp;(U150-TODAY())&amp;" days",IF(OR(S150="Death",S150="Specified injury",S150="Member of public to hospital",S150="Dangerous occurrence"),"REPORT without delay","Report by date shown")))),IF(AND(N(Q150)&gt;7,OR(S150="",S150="Not reportable",S150="Over-3-day injury (record only)")),"CHECK – over 7 days off",IF(S150="","Decide RIDDOR",IF(S150="Over-3-day injury (record only)","Record only","Not reportable"))))))))</f>
        <v/>
      </c>
      <c r="W150" s="30"/>
      <c r="X150" s="29"/>
      <c r="Y150" s="32"/>
      <c r="Z150" s="29"/>
      <c r="AA150" s="35"/>
      <c r="AB150" s="29"/>
      <c r="AC150" s="29"/>
      <c r="AD150" s="29"/>
      <c r="AE150" s="29"/>
      <c r="AF150" s="29"/>
      <c r="AG150" s="30"/>
      <c r="AH150" s="29"/>
      <c r="AI150" s="36" t="str">
        <f aca="true">IF(OR(C150="",AH150="Closed",AH150="Void – logged in error",AG150=""),"",IF(AG150&lt;TODAY(),"OVERDUE",IF(AG150-TODAY()&lt;='Start here'!$C$8,"Due soon","On track")))</f>
        <v/>
      </c>
      <c r="AJ150" s="29"/>
      <c r="AK150" s="29"/>
      <c r="AL150" s="30"/>
      <c r="AM150" s="37" t="str">
        <f aca="false">IF(AND(C150&lt;&gt;"",AH150&lt;&gt;"Closed",AH150&lt;&gt;"Void – logged in error",OR(AH150&lt;&gt;"",AD150&lt;&gt;"",AE150&lt;&gt;"",AF150&lt;&gt;"",AG150&lt;&gt;"")),ROW(),"")</f>
        <v/>
      </c>
    </row>
    <row r="151" customFormat="false" ht="30" hidden="false" customHeight="true" outlineLevel="0" collapsed="false">
      <c r="A151" s="28" t="str">
        <f aca="false">IF(C151="","","INC-"&amp;YEAR(C151)&amp;"-"&amp;TEXT(COUNTIFS($C$6:C151,"&gt;="&amp;DATE(YEAR(C151),1,1),$C$6:C151,"&lt;="&amp;DATE(YEAR(C151),12,31)),"000"))</f>
        <v/>
      </c>
      <c r="B151" s="29"/>
      <c r="C151" s="30"/>
      <c r="D151" s="31"/>
      <c r="E151" s="30"/>
      <c r="F151" s="29"/>
      <c r="G151" s="29"/>
      <c r="H151" s="29"/>
      <c r="I151" s="29"/>
      <c r="J151" s="29"/>
      <c r="K151" s="29"/>
      <c r="L151" s="29"/>
      <c r="M151" s="29"/>
      <c r="N151" s="29"/>
      <c r="O151" s="29"/>
      <c r="P151" s="29"/>
      <c r="Q151" s="32"/>
      <c r="R151" s="29"/>
      <c r="S151" s="29"/>
      <c r="T151" s="33" t="str">
        <f aca="false">IF(AH151="Void – logged in error","",IF(OR(C151="",S151=""),IF(C151="","","Decide"),IF(OR(S151="Not reportable",S151="Over-3-day injury (record only)"),"No","Yes")))</f>
        <v/>
      </c>
      <c r="U151" s="34" t="str">
        <f aca="false">IF(OR(C151="",S151=""),"",IF(S151="Over-7-day injury",C151+15,IF(OR(S151="Death",S151="Specified injury",S151="Member of public to hospital",S151="Dangerous occurrence"),C151+10,"")))</f>
        <v/>
      </c>
      <c r="V151" s="28" t="str">
        <f aca="true">IF(C151="","",IF(AH151="Void – logged in error","Void",IF(W151&lt;&gt;"","Done – reported",IF(S151="Occupational disease","REPORT NOW – on diagnosis",IF(ISNUMBER(U151),IF(U151&lt;TODAY(),"OVERDUE – report now",IF(U151=TODAY(),"DUE TODAY",IF(U151-TODAY()&lt;='Start here'!$C$7,"DUE in "&amp;(U151-TODAY())&amp;" days",IF(OR(S151="Death",S151="Specified injury",S151="Member of public to hospital",S151="Dangerous occurrence"),"REPORT without delay","Report by date shown")))),IF(AND(N(Q151)&gt;7,OR(S151="",S151="Not reportable",S151="Over-3-day injury (record only)")),"CHECK – over 7 days off",IF(S151="","Decide RIDDOR",IF(S151="Over-3-day injury (record only)","Record only","Not reportable"))))))))</f>
        <v/>
      </c>
      <c r="W151" s="30"/>
      <c r="X151" s="29"/>
      <c r="Y151" s="32"/>
      <c r="Z151" s="29"/>
      <c r="AA151" s="35"/>
      <c r="AB151" s="29"/>
      <c r="AC151" s="29"/>
      <c r="AD151" s="29"/>
      <c r="AE151" s="29"/>
      <c r="AF151" s="29"/>
      <c r="AG151" s="30"/>
      <c r="AH151" s="29"/>
      <c r="AI151" s="36" t="str">
        <f aca="true">IF(OR(C151="",AH151="Closed",AH151="Void – logged in error",AG151=""),"",IF(AG151&lt;TODAY(),"OVERDUE",IF(AG151-TODAY()&lt;='Start here'!$C$8,"Due soon","On track")))</f>
        <v/>
      </c>
      <c r="AJ151" s="29"/>
      <c r="AK151" s="29"/>
      <c r="AL151" s="30"/>
      <c r="AM151" s="37" t="str">
        <f aca="false">IF(AND(C151&lt;&gt;"",AH151&lt;&gt;"Closed",AH151&lt;&gt;"Void – logged in error",OR(AH151&lt;&gt;"",AD151&lt;&gt;"",AE151&lt;&gt;"",AF151&lt;&gt;"",AG151&lt;&gt;"")),ROW(),"")</f>
        <v/>
      </c>
    </row>
    <row r="152" customFormat="false" ht="30" hidden="false" customHeight="true" outlineLevel="0" collapsed="false">
      <c r="A152" s="28" t="str">
        <f aca="false">IF(C152="","","INC-"&amp;YEAR(C152)&amp;"-"&amp;TEXT(COUNTIFS($C$6:C152,"&gt;="&amp;DATE(YEAR(C152),1,1),$C$6:C152,"&lt;="&amp;DATE(YEAR(C152),12,31)),"000"))</f>
        <v/>
      </c>
      <c r="B152" s="29"/>
      <c r="C152" s="30"/>
      <c r="D152" s="31"/>
      <c r="E152" s="30"/>
      <c r="F152" s="29"/>
      <c r="G152" s="29"/>
      <c r="H152" s="29"/>
      <c r="I152" s="29"/>
      <c r="J152" s="29"/>
      <c r="K152" s="29"/>
      <c r="L152" s="29"/>
      <c r="M152" s="29"/>
      <c r="N152" s="29"/>
      <c r="O152" s="29"/>
      <c r="P152" s="29"/>
      <c r="Q152" s="32"/>
      <c r="R152" s="29"/>
      <c r="S152" s="29"/>
      <c r="T152" s="33" t="str">
        <f aca="false">IF(AH152="Void – logged in error","",IF(OR(C152="",S152=""),IF(C152="","","Decide"),IF(OR(S152="Not reportable",S152="Over-3-day injury (record only)"),"No","Yes")))</f>
        <v/>
      </c>
      <c r="U152" s="34" t="str">
        <f aca="false">IF(OR(C152="",S152=""),"",IF(S152="Over-7-day injury",C152+15,IF(OR(S152="Death",S152="Specified injury",S152="Member of public to hospital",S152="Dangerous occurrence"),C152+10,"")))</f>
        <v/>
      </c>
      <c r="V152" s="28" t="str">
        <f aca="true">IF(C152="","",IF(AH152="Void – logged in error","Void",IF(W152&lt;&gt;"","Done – reported",IF(S152="Occupational disease","REPORT NOW – on diagnosis",IF(ISNUMBER(U152),IF(U152&lt;TODAY(),"OVERDUE – report now",IF(U152=TODAY(),"DUE TODAY",IF(U152-TODAY()&lt;='Start here'!$C$7,"DUE in "&amp;(U152-TODAY())&amp;" days",IF(OR(S152="Death",S152="Specified injury",S152="Member of public to hospital",S152="Dangerous occurrence"),"REPORT without delay","Report by date shown")))),IF(AND(N(Q152)&gt;7,OR(S152="",S152="Not reportable",S152="Over-3-day injury (record only)")),"CHECK – over 7 days off",IF(S152="","Decide RIDDOR",IF(S152="Over-3-day injury (record only)","Record only","Not reportable"))))))))</f>
        <v/>
      </c>
      <c r="W152" s="30"/>
      <c r="X152" s="29"/>
      <c r="Y152" s="32"/>
      <c r="Z152" s="29"/>
      <c r="AA152" s="35"/>
      <c r="AB152" s="29"/>
      <c r="AC152" s="29"/>
      <c r="AD152" s="29"/>
      <c r="AE152" s="29"/>
      <c r="AF152" s="29"/>
      <c r="AG152" s="30"/>
      <c r="AH152" s="29"/>
      <c r="AI152" s="36" t="str">
        <f aca="true">IF(OR(C152="",AH152="Closed",AH152="Void – logged in error",AG152=""),"",IF(AG152&lt;TODAY(),"OVERDUE",IF(AG152-TODAY()&lt;='Start here'!$C$8,"Due soon","On track")))</f>
        <v/>
      </c>
      <c r="AJ152" s="29"/>
      <c r="AK152" s="29"/>
      <c r="AL152" s="30"/>
      <c r="AM152" s="37" t="str">
        <f aca="false">IF(AND(C152&lt;&gt;"",AH152&lt;&gt;"Closed",AH152&lt;&gt;"Void – logged in error",OR(AH152&lt;&gt;"",AD152&lt;&gt;"",AE152&lt;&gt;"",AF152&lt;&gt;"",AG152&lt;&gt;"")),ROW(),"")</f>
        <v/>
      </c>
    </row>
    <row r="153" customFormat="false" ht="30" hidden="false" customHeight="true" outlineLevel="0" collapsed="false">
      <c r="A153" s="28" t="str">
        <f aca="false">IF(C153="","","INC-"&amp;YEAR(C153)&amp;"-"&amp;TEXT(COUNTIFS($C$6:C153,"&gt;="&amp;DATE(YEAR(C153),1,1),$C$6:C153,"&lt;="&amp;DATE(YEAR(C153),12,31)),"000"))</f>
        <v/>
      </c>
      <c r="B153" s="29"/>
      <c r="C153" s="30"/>
      <c r="D153" s="31"/>
      <c r="E153" s="30"/>
      <c r="F153" s="29"/>
      <c r="G153" s="29"/>
      <c r="H153" s="29"/>
      <c r="I153" s="29"/>
      <c r="J153" s="29"/>
      <c r="K153" s="29"/>
      <c r="L153" s="29"/>
      <c r="M153" s="29"/>
      <c r="N153" s="29"/>
      <c r="O153" s="29"/>
      <c r="P153" s="29"/>
      <c r="Q153" s="32"/>
      <c r="R153" s="29"/>
      <c r="S153" s="29"/>
      <c r="T153" s="33" t="str">
        <f aca="false">IF(AH153="Void – logged in error","",IF(OR(C153="",S153=""),IF(C153="","","Decide"),IF(OR(S153="Not reportable",S153="Over-3-day injury (record only)"),"No","Yes")))</f>
        <v/>
      </c>
      <c r="U153" s="34" t="str">
        <f aca="false">IF(OR(C153="",S153=""),"",IF(S153="Over-7-day injury",C153+15,IF(OR(S153="Death",S153="Specified injury",S153="Member of public to hospital",S153="Dangerous occurrence"),C153+10,"")))</f>
        <v/>
      </c>
      <c r="V153" s="28" t="str">
        <f aca="true">IF(C153="","",IF(AH153="Void – logged in error","Void",IF(W153&lt;&gt;"","Done – reported",IF(S153="Occupational disease","REPORT NOW – on diagnosis",IF(ISNUMBER(U153),IF(U153&lt;TODAY(),"OVERDUE – report now",IF(U153=TODAY(),"DUE TODAY",IF(U153-TODAY()&lt;='Start here'!$C$7,"DUE in "&amp;(U153-TODAY())&amp;" days",IF(OR(S153="Death",S153="Specified injury",S153="Member of public to hospital",S153="Dangerous occurrence"),"REPORT without delay","Report by date shown")))),IF(AND(N(Q153)&gt;7,OR(S153="",S153="Not reportable",S153="Over-3-day injury (record only)")),"CHECK – over 7 days off",IF(S153="","Decide RIDDOR",IF(S153="Over-3-day injury (record only)","Record only","Not reportable"))))))))</f>
        <v/>
      </c>
      <c r="W153" s="30"/>
      <c r="X153" s="29"/>
      <c r="Y153" s="32"/>
      <c r="Z153" s="29"/>
      <c r="AA153" s="35"/>
      <c r="AB153" s="29"/>
      <c r="AC153" s="29"/>
      <c r="AD153" s="29"/>
      <c r="AE153" s="29"/>
      <c r="AF153" s="29"/>
      <c r="AG153" s="30"/>
      <c r="AH153" s="29"/>
      <c r="AI153" s="36" t="str">
        <f aca="true">IF(OR(C153="",AH153="Closed",AH153="Void – logged in error",AG153=""),"",IF(AG153&lt;TODAY(),"OVERDUE",IF(AG153-TODAY()&lt;='Start here'!$C$8,"Due soon","On track")))</f>
        <v/>
      </c>
      <c r="AJ153" s="29"/>
      <c r="AK153" s="29"/>
      <c r="AL153" s="30"/>
      <c r="AM153" s="37" t="str">
        <f aca="false">IF(AND(C153&lt;&gt;"",AH153&lt;&gt;"Closed",AH153&lt;&gt;"Void – logged in error",OR(AH153&lt;&gt;"",AD153&lt;&gt;"",AE153&lt;&gt;"",AF153&lt;&gt;"",AG153&lt;&gt;"")),ROW(),"")</f>
        <v/>
      </c>
    </row>
    <row r="154" customFormat="false" ht="30" hidden="false" customHeight="true" outlineLevel="0" collapsed="false">
      <c r="A154" s="28" t="str">
        <f aca="false">IF(C154="","","INC-"&amp;YEAR(C154)&amp;"-"&amp;TEXT(COUNTIFS($C$6:C154,"&gt;="&amp;DATE(YEAR(C154),1,1),$C$6:C154,"&lt;="&amp;DATE(YEAR(C154),12,31)),"000"))</f>
        <v/>
      </c>
      <c r="B154" s="29"/>
      <c r="C154" s="30"/>
      <c r="D154" s="31"/>
      <c r="E154" s="30"/>
      <c r="F154" s="29"/>
      <c r="G154" s="29"/>
      <c r="H154" s="29"/>
      <c r="I154" s="29"/>
      <c r="J154" s="29"/>
      <c r="K154" s="29"/>
      <c r="L154" s="29"/>
      <c r="M154" s="29"/>
      <c r="N154" s="29"/>
      <c r="O154" s="29"/>
      <c r="P154" s="29"/>
      <c r="Q154" s="32"/>
      <c r="R154" s="29"/>
      <c r="S154" s="29"/>
      <c r="T154" s="33" t="str">
        <f aca="false">IF(AH154="Void – logged in error","",IF(OR(C154="",S154=""),IF(C154="","","Decide"),IF(OR(S154="Not reportable",S154="Over-3-day injury (record only)"),"No","Yes")))</f>
        <v/>
      </c>
      <c r="U154" s="34" t="str">
        <f aca="false">IF(OR(C154="",S154=""),"",IF(S154="Over-7-day injury",C154+15,IF(OR(S154="Death",S154="Specified injury",S154="Member of public to hospital",S154="Dangerous occurrence"),C154+10,"")))</f>
        <v/>
      </c>
      <c r="V154" s="28" t="str">
        <f aca="true">IF(C154="","",IF(AH154="Void – logged in error","Void",IF(W154&lt;&gt;"","Done – reported",IF(S154="Occupational disease","REPORT NOW – on diagnosis",IF(ISNUMBER(U154),IF(U154&lt;TODAY(),"OVERDUE – report now",IF(U154=TODAY(),"DUE TODAY",IF(U154-TODAY()&lt;='Start here'!$C$7,"DUE in "&amp;(U154-TODAY())&amp;" days",IF(OR(S154="Death",S154="Specified injury",S154="Member of public to hospital",S154="Dangerous occurrence"),"REPORT without delay","Report by date shown")))),IF(AND(N(Q154)&gt;7,OR(S154="",S154="Not reportable",S154="Over-3-day injury (record only)")),"CHECK – over 7 days off",IF(S154="","Decide RIDDOR",IF(S154="Over-3-day injury (record only)","Record only","Not reportable"))))))))</f>
        <v/>
      </c>
      <c r="W154" s="30"/>
      <c r="X154" s="29"/>
      <c r="Y154" s="32"/>
      <c r="Z154" s="29"/>
      <c r="AA154" s="35"/>
      <c r="AB154" s="29"/>
      <c r="AC154" s="29"/>
      <c r="AD154" s="29"/>
      <c r="AE154" s="29"/>
      <c r="AF154" s="29"/>
      <c r="AG154" s="30"/>
      <c r="AH154" s="29"/>
      <c r="AI154" s="36" t="str">
        <f aca="true">IF(OR(C154="",AH154="Closed",AH154="Void – logged in error",AG154=""),"",IF(AG154&lt;TODAY(),"OVERDUE",IF(AG154-TODAY()&lt;='Start here'!$C$8,"Due soon","On track")))</f>
        <v/>
      </c>
      <c r="AJ154" s="29"/>
      <c r="AK154" s="29"/>
      <c r="AL154" s="30"/>
      <c r="AM154" s="37" t="str">
        <f aca="false">IF(AND(C154&lt;&gt;"",AH154&lt;&gt;"Closed",AH154&lt;&gt;"Void – logged in error",OR(AH154&lt;&gt;"",AD154&lt;&gt;"",AE154&lt;&gt;"",AF154&lt;&gt;"",AG154&lt;&gt;"")),ROW(),"")</f>
        <v/>
      </c>
    </row>
    <row r="155" customFormat="false" ht="30" hidden="false" customHeight="true" outlineLevel="0" collapsed="false">
      <c r="A155" s="28" t="str">
        <f aca="false">IF(C155="","","INC-"&amp;YEAR(C155)&amp;"-"&amp;TEXT(COUNTIFS($C$6:C155,"&gt;="&amp;DATE(YEAR(C155),1,1),$C$6:C155,"&lt;="&amp;DATE(YEAR(C155),12,31)),"000"))</f>
        <v/>
      </c>
      <c r="B155" s="29"/>
      <c r="C155" s="30"/>
      <c r="D155" s="31"/>
      <c r="E155" s="30"/>
      <c r="F155" s="29"/>
      <c r="G155" s="29"/>
      <c r="H155" s="29"/>
      <c r="I155" s="29"/>
      <c r="J155" s="29"/>
      <c r="K155" s="29"/>
      <c r="L155" s="29"/>
      <c r="M155" s="29"/>
      <c r="N155" s="29"/>
      <c r="O155" s="29"/>
      <c r="P155" s="29"/>
      <c r="Q155" s="32"/>
      <c r="R155" s="29"/>
      <c r="S155" s="29"/>
      <c r="T155" s="33" t="str">
        <f aca="false">IF(AH155="Void – logged in error","",IF(OR(C155="",S155=""),IF(C155="","","Decide"),IF(OR(S155="Not reportable",S155="Over-3-day injury (record only)"),"No","Yes")))</f>
        <v/>
      </c>
      <c r="U155" s="34" t="str">
        <f aca="false">IF(OR(C155="",S155=""),"",IF(S155="Over-7-day injury",C155+15,IF(OR(S155="Death",S155="Specified injury",S155="Member of public to hospital",S155="Dangerous occurrence"),C155+10,"")))</f>
        <v/>
      </c>
      <c r="V155" s="28" t="str">
        <f aca="true">IF(C155="","",IF(AH155="Void – logged in error","Void",IF(W155&lt;&gt;"","Done – reported",IF(S155="Occupational disease","REPORT NOW – on diagnosis",IF(ISNUMBER(U155),IF(U155&lt;TODAY(),"OVERDUE – report now",IF(U155=TODAY(),"DUE TODAY",IF(U155-TODAY()&lt;='Start here'!$C$7,"DUE in "&amp;(U155-TODAY())&amp;" days",IF(OR(S155="Death",S155="Specified injury",S155="Member of public to hospital",S155="Dangerous occurrence"),"REPORT without delay","Report by date shown")))),IF(AND(N(Q155)&gt;7,OR(S155="",S155="Not reportable",S155="Over-3-day injury (record only)")),"CHECK – over 7 days off",IF(S155="","Decide RIDDOR",IF(S155="Over-3-day injury (record only)","Record only","Not reportable"))))))))</f>
        <v/>
      </c>
      <c r="W155" s="30"/>
      <c r="X155" s="29"/>
      <c r="Y155" s="32"/>
      <c r="Z155" s="29"/>
      <c r="AA155" s="35"/>
      <c r="AB155" s="29"/>
      <c r="AC155" s="29"/>
      <c r="AD155" s="29"/>
      <c r="AE155" s="29"/>
      <c r="AF155" s="29"/>
      <c r="AG155" s="30"/>
      <c r="AH155" s="29"/>
      <c r="AI155" s="36" t="str">
        <f aca="true">IF(OR(C155="",AH155="Closed",AH155="Void – logged in error",AG155=""),"",IF(AG155&lt;TODAY(),"OVERDUE",IF(AG155-TODAY()&lt;='Start here'!$C$8,"Due soon","On track")))</f>
        <v/>
      </c>
      <c r="AJ155" s="29"/>
      <c r="AK155" s="29"/>
      <c r="AL155" s="30"/>
      <c r="AM155" s="37" t="str">
        <f aca="false">IF(AND(C155&lt;&gt;"",AH155&lt;&gt;"Closed",AH155&lt;&gt;"Void – logged in error",OR(AH155&lt;&gt;"",AD155&lt;&gt;"",AE155&lt;&gt;"",AF155&lt;&gt;"",AG155&lt;&gt;"")),ROW(),"")</f>
        <v/>
      </c>
    </row>
    <row r="156" customFormat="false" ht="30" hidden="false" customHeight="true" outlineLevel="0" collapsed="false">
      <c r="A156" s="28" t="str">
        <f aca="false">IF(C156="","","INC-"&amp;YEAR(C156)&amp;"-"&amp;TEXT(COUNTIFS($C$6:C156,"&gt;="&amp;DATE(YEAR(C156),1,1),$C$6:C156,"&lt;="&amp;DATE(YEAR(C156),12,31)),"000"))</f>
        <v/>
      </c>
      <c r="B156" s="29"/>
      <c r="C156" s="30"/>
      <c r="D156" s="31"/>
      <c r="E156" s="30"/>
      <c r="F156" s="29"/>
      <c r="G156" s="29"/>
      <c r="H156" s="29"/>
      <c r="I156" s="29"/>
      <c r="J156" s="29"/>
      <c r="K156" s="29"/>
      <c r="L156" s="29"/>
      <c r="M156" s="29"/>
      <c r="N156" s="29"/>
      <c r="O156" s="29"/>
      <c r="P156" s="29"/>
      <c r="Q156" s="32"/>
      <c r="R156" s="29"/>
      <c r="S156" s="29"/>
      <c r="T156" s="33" t="str">
        <f aca="false">IF(AH156="Void – logged in error","",IF(OR(C156="",S156=""),IF(C156="","","Decide"),IF(OR(S156="Not reportable",S156="Over-3-day injury (record only)"),"No","Yes")))</f>
        <v/>
      </c>
      <c r="U156" s="34" t="str">
        <f aca="false">IF(OR(C156="",S156=""),"",IF(S156="Over-7-day injury",C156+15,IF(OR(S156="Death",S156="Specified injury",S156="Member of public to hospital",S156="Dangerous occurrence"),C156+10,"")))</f>
        <v/>
      </c>
      <c r="V156" s="28" t="str">
        <f aca="true">IF(C156="","",IF(AH156="Void – logged in error","Void",IF(W156&lt;&gt;"","Done – reported",IF(S156="Occupational disease","REPORT NOW – on diagnosis",IF(ISNUMBER(U156),IF(U156&lt;TODAY(),"OVERDUE – report now",IF(U156=TODAY(),"DUE TODAY",IF(U156-TODAY()&lt;='Start here'!$C$7,"DUE in "&amp;(U156-TODAY())&amp;" days",IF(OR(S156="Death",S156="Specified injury",S156="Member of public to hospital",S156="Dangerous occurrence"),"REPORT without delay","Report by date shown")))),IF(AND(N(Q156)&gt;7,OR(S156="",S156="Not reportable",S156="Over-3-day injury (record only)")),"CHECK – over 7 days off",IF(S156="","Decide RIDDOR",IF(S156="Over-3-day injury (record only)","Record only","Not reportable"))))))))</f>
        <v/>
      </c>
      <c r="W156" s="30"/>
      <c r="X156" s="29"/>
      <c r="Y156" s="32"/>
      <c r="Z156" s="29"/>
      <c r="AA156" s="35"/>
      <c r="AB156" s="29"/>
      <c r="AC156" s="29"/>
      <c r="AD156" s="29"/>
      <c r="AE156" s="29"/>
      <c r="AF156" s="29"/>
      <c r="AG156" s="30"/>
      <c r="AH156" s="29"/>
      <c r="AI156" s="36" t="str">
        <f aca="true">IF(OR(C156="",AH156="Closed",AH156="Void – logged in error",AG156=""),"",IF(AG156&lt;TODAY(),"OVERDUE",IF(AG156-TODAY()&lt;='Start here'!$C$8,"Due soon","On track")))</f>
        <v/>
      </c>
      <c r="AJ156" s="29"/>
      <c r="AK156" s="29"/>
      <c r="AL156" s="30"/>
      <c r="AM156" s="37" t="str">
        <f aca="false">IF(AND(C156&lt;&gt;"",AH156&lt;&gt;"Closed",AH156&lt;&gt;"Void – logged in error",OR(AH156&lt;&gt;"",AD156&lt;&gt;"",AE156&lt;&gt;"",AF156&lt;&gt;"",AG156&lt;&gt;"")),ROW(),"")</f>
        <v/>
      </c>
    </row>
    <row r="157" customFormat="false" ht="30" hidden="false" customHeight="true" outlineLevel="0" collapsed="false">
      <c r="A157" s="28" t="str">
        <f aca="false">IF(C157="","","INC-"&amp;YEAR(C157)&amp;"-"&amp;TEXT(COUNTIFS($C$6:C157,"&gt;="&amp;DATE(YEAR(C157),1,1),$C$6:C157,"&lt;="&amp;DATE(YEAR(C157),12,31)),"000"))</f>
        <v/>
      </c>
      <c r="B157" s="29"/>
      <c r="C157" s="30"/>
      <c r="D157" s="31"/>
      <c r="E157" s="30"/>
      <c r="F157" s="29"/>
      <c r="G157" s="29"/>
      <c r="H157" s="29"/>
      <c r="I157" s="29"/>
      <c r="J157" s="29"/>
      <c r="K157" s="29"/>
      <c r="L157" s="29"/>
      <c r="M157" s="29"/>
      <c r="N157" s="29"/>
      <c r="O157" s="29"/>
      <c r="P157" s="29"/>
      <c r="Q157" s="32"/>
      <c r="R157" s="29"/>
      <c r="S157" s="29"/>
      <c r="T157" s="33" t="str">
        <f aca="false">IF(AH157="Void – logged in error","",IF(OR(C157="",S157=""),IF(C157="","","Decide"),IF(OR(S157="Not reportable",S157="Over-3-day injury (record only)"),"No","Yes")))</f>
        <v/>
      </c>
      <c r="U157" s="34" t="str">
        <f aca="false">IF(OR(C157="",S157=""),"",IF(S157="Over-7-day injury",C157+15,IF(OR(S157="Death",S157="Specified injury",S157="Member of public to hospital",S157="Dangerous occurrence"),C157+10,"")))</f>
        <v/>
      </c>
      <c r="V157" s="28" t="str">
        <f aca="true">IF(C157="","",IF(AH157="Void – logged in error","Void",IF(W157&lt;&gt;"","Done – reported",IF(S157="Occupational disease","REPORT NOW – on diagnosis",IF(ISNUMBER(U157),IF(U157&lt;TODAY(),"OVERDUE – report now",IF(U157=TODAY(),"DUE TODAY",IF(U157-TODAY()&lt;='Start here'!$C$7,"DUE in "&amp;(U157-TODAY())&amp;" days",IF(OR(S157="Death",S157="Specified injury",S157="Member of public to hospital",S157="Dangerous occurrence"),"REPORT without delay","Report by date shown")))),IF(AND(N(Q157)&gt;7,OR(S157="",S157="Not reportable",S157="Over-3-day injury (record only)")),"CHECK – over 7 days off",IF(S157="","Decide RIDDOR",IF(S157="Over-3-day injury (record only)","Record only","Not reportable"))))))))</f>
        <v/>
      </c>
      <c r="W157" s="30"/>
      <c r="X157" s="29"/>
      <c r="Y157" s="32"/>
      <c r="Z157" s="29"/>
      <c r="AA157" s="35"/>
      <c r="AB157" s="29"/>
      <c r="AC157" s="29"/>
      <c r="AD157" s="29"/>
      <c r="AE157" s="29"/>
      <c r="AF157" s="29"/>
      <c r="AG157" s="30"/>
      <c r="AH157" s="29"/>
      <c r="AI157" s="36" t="str">
        <f aca="true">IF(OR(C157="",AH157="Closed",AH157="Void – logged in error",AG157=""),"",IF(AG157&lt;TODAY(),"OVERDUE",IF(AG157-TODAY()&lt;='Start here'!$C$8,"Due soon","On track")))</f>
        <v/>
      </c>
      <c r="AJ157" s="29"/>
      <c r="AK157" s="29"/>
      <c r="AL157" s="30"/>
      <c r="AM157" s="37" t="str">
        <f aca="false">IF(AND(C157&lt;&gt;"",AH157&lt;&gt;"Closed",AH157&lt;&gt;"Void – logged in error",OR(AH157&lt;&gt;"",AD157&lt;&gt;"",AE157&lt;&gt;"",AF157&lt;&gt;"",AG157&lt;&gt;"")),ROW(),"")</f>
        <v/>
      </c>
    </row>
    <row r="158" customFormat="false" ht="30" hidden="false" customHeight="true" outlineLevel="0" collapsed="false">
      <c r="A158" s="28" t="str">
        <f aca="false">IF(C158="","","INC-"&amp;YEAR(C158)&amp;"-"&amp;TEXT(COUNTIFS($C$6:C158,"&gt;="&amp;DATE(YEAR(C158),1,1),$C$6:C158,"&lt;="&amp;DATE(YEAR(C158),12,31)),"000"))</f>
        <v/>
      </c>
      <c r="B158" s="29"/>
      <c r="C158" s="30"/>
      <c r="D158" s="31"/>
      <c r="E158" s="30"/>
      <c r="F158" s="29"/>
      <c r="G158" s="29"/>
      <c r="H158" s="29"/>
      <c r="I158" s="29"/>
      <c r="J158" s="29"/>
      <c r="K158" s="29"/>
      <c r="L158" s="29"/>
      <c r="M158" s="29"/>
      <c r="N158" s="29"/>
      <c r="O158" s="29"/>
      <c r="P158" s="29"/>
      <c r="Q158" s="32"/>
      <c r="R158" s="29"/>
      <c r="S158" s="29"/>
      <c r="T158" s="33" t="str">
        <f aca="false">IF(AH158="Void – logged in error","",IF(OR(C158="",S158=""),IF(C158="","","Decide"),IF(OR(S158="Not reportable",S158="Over-3-day injury (record only)"),"No","Yes")))</f>
        <v/>
      </c>
      <c r="U158" s="34" t="str">
        <f aca="false">IF(OR(C158="",S158=""),"",IF(S158="Over-7-day injury",C158+15,IF(OR(S158="Death",S158="Specified injury",S158="Member of public to hospital",S158="Dangerous occurrence"),C158+10,"")))</f>
        <v/>
      </c>
      <c r="V158" s="28" t="str">
        <f aca="true">IF(C158="","",IF(AH158="Void – logged in error","Void",IF(W158&lt;&gt;"","Done – reported",IF(S158="Occupational disease","REPORT NOW – on diagnosis",IF(ISNUMBER(U158),IF(U158&lt;TODAY(),"OVERDUE – report now",IF(U158=TODAY(),"DUE TODAY",IF(U158-TODAY()&lt;='Start here'!$C$7,"DUE in "&amp;(U158-TODAY())&amp;" days",IF(OR(S158="Death",S158="Specified injury",S158="Member of public to hospital",S158="Dangerous occurrence"),"REPORT without delay","Report by date shown")))),IF(AND(N(Q158)&gt;7,OR(S158="",S158="Not reportable",S158="Over-3-day injury (record only)")),"CHECK – over 7 days off",IF(S158="","Decide RIDDOR",IF(S158="Over-3-day injury (record only)","Record only","Not reportable"))))))))</f>
        <v/>
      </c>
      <c r="W158" s="30"/>
      <c r="X158" s="29"/>
      <c r="Y158" s="32"/>
      <c r="Z158" s="29"/>
      <c r="AA158" s="35"/>
      <c r="AB158" s="29"/>
      <c r="AC158" s="29"/>
      <c r="AD158" s="29"/>
      <c r="AE158" s="29"/>
      <c r="AF158" s="29"/>
      <c r="AG158" s="30"/>
      <c r="AH158" s="29"/>
      <c r="AI158" s="36" t="str">
        <f aca="true">IF(OR(C158="",AH158="Closed",AH158="Void – logged in error",AG158=""),"",IF(AG158&lt;TODAY(),"OVERDUE",IF(AG158-TODAY()&lt;='Start here'!$C$8,"Due soon","On track")))</f>
        <v/>
      </c>
      <c r="AJ158" s="29"/>
      <c r="AK158" s="29"/>
      <c r="AL158" s="30"/>
      <c r="AM158" s="37" t="str">
        <f aca="false">IF(AND(C158&lt;&gt;"",AH158&lt;&gt;"Closed",AH158&lt;&gt;"Void – logged in error",OR(AH158&lt;&gt;"",AD158&lt;&gt;"",AE158&lt;&gt;"",AF158&lt;&gt;"",AG158&lt;&gt;"")),ROW(),"")</f>
        <v/>
      </c>
    </row>
    <row r="159" customFormat="false" ht="30" hidden="false" customHeight="true" outlineLevel="0" collapsed="false">
      <c r="A159" s="28" t="str">
        <f aca="false">IF(C159="","","INC-"&amp;YEAR(C159)&amp;"-"&amp;TEXT(COUNTIFS($C$6:C159,"&gt;="&amp;DATE(YEAR(C159),1,1),$C$6:C159,"&lt;="&amp;DATE(YEAR(C159),12,31)),"000"))</f>
        <v/>
      </c>
      <c r="B159" s="29"/>
      <c r="C159" s="30"/>
      <c r="D159" s="31"/>
      <c r="E159" s="30"/>
      <c r="F159" s="29"/>
      <c r="G159" s="29"/>
      <c r="H159" s="29"/>
      <c r="I159" s="29"/>
      <c r="J159" s="29"/>
      <c r="K159" s="29"/>
      <c r="L159" s="29"/>
      <c r="M159" s="29"/>
      <c r="N159" s="29"/>
      <c r="O159" s="29"/>
      <c r="P159" s="29"/>
      <c r="Q159" s="32"/>
      <c r="R159" s="29"/>
      <c r="S159" s="29"/>
      <c r="T159" s="33" t="str">
        <f aca="false">IF(AH159="Void – logged in error","",IF(OR(C159="",S159=""),IF(C159="","","Decide"),IF(OR(S159="Not reportable",S159="Over-3-day injury (record only)"),"No","Yes")))</f>
        <v/>
      </c>
      <c r="U159" s="34" t="str">
        <f aca="false">IF(OR(C159="",S159=""),"",IF(S159="Over-7-day injury",C159+15,IF(OR(S159="Death",S159="Specified injury",S159="Member of public to hospital",S159="Dangerous occurrence"),C159+10,"")))</f>
        <v/>
      </c>
      <c r="V159" s="28" t="str">
        <f aca="true">IF(C159="","",IF(AH159="Void – logged in error","Void",IF(W159&lt;&gt;"","Done – reported",IF(S159="Occupational disease","REPORT NOW – on diagnosis",IF(ISNUMBER(U159),IF(U159&lt;TODAY(),"OVERDUE – report now",IF(U159=TODAY(),"DUE TODAY",IF(U159-TODAY()&lt;='Start here'!$C$7,"DUE in "&amp;(U159-TODAY())&amp;" days",IF(OR(S159="Death",S159="Specified injury",S159="Member of public to hospital",S159="Dangerous occurrence"),"REPORT without delay","Report by date shown")))),IF(AND(N(Q159)&gt;7,OR(S159="",S159="Not reportable",S159="Over-3-day injury (record only)")),"CHECK – over 7 days off",IF(S159="","Decide RIDDOR",IF(S159="Over-3-day injury (record only)","Record only","Not reportable"))))))))</f>
        <v/>
      </c>
      <c r="W159" s="30"/>
      <c r="X159" s="29"/>
      <c r="Y159" s="32"/>
      <c r="Z159" s="29"/>
      <c r="AA159" s="35"/>
      <c r="AB159" s="29"/>
      <c r="AC159" s="29"/>
      <c r="AD159" s="29"/>
      <c r="AE159" s="29"/>
      <c r="AF159" s="29"/>
      <c r="AG159" s="30"/>
      <c r="AH159" s="29"/>
      <c r="AI159" s="36" t="str">
        <f aca="true">IF(OR(C159="",AH159="Closed",AH159="Void – logged in error",AG159=""),"",IF(AG159&lt;TODAY(),"OVERDUE",IF(AG159-TODAY()&lt;='Start here'!$C$8,"Due soon","On track")))</f>
        <v/>
      </c>
      <c r="AJ159" s="29"/>
      <c r="AK159" s="29"/>
      <c r="AL159" s="30"/>
      <c r="AM159" s="37" t="str">
        <f aca="false">IF(AND(C159&lt;&gt;"",AH159&lt;&gt;"Closed",AH159&lt;&gt;"Void – logged in error",OR(AH159&lt;&gt;"",AD159&lt;&gt;"",AE159&lt;&gt;"",AF159&lt;&gt;"",AG159&lt;&gt;"")),ROW(),"")</f>
        <v/>
      </c>
    </row>
    <row r="160" customFormat="false" ht="30" hidden="false" customHeight="true" outlineLevel="0" collapsed="false">
      <c r="A160" s="28" t="str">
        <f aca="false">IF(C160="","","INC-"&amp;YEAR(C160)&amp;"-"&amp;TEXT(COUNTIFS($C$6:C160,"&gt;="&amp;DATE(YEAR(C160),1,1),$C$6:C160,"&lt;="&amp;DATE(YEAR(C160),12,31)),"000"))</f>
        <v/>
      </c>
      <c r="B160" s="29"/>
      <c r="C160" s="30"/>
      <c r="D160" s="31"/>
      <c r="E160" s="30"/>
      <c r="F160" s="29"/>
      <c r="G160" s="29"/>
      <c r="H160" s="29"/>
      <c r="I160" s="29"/>
      <c r="J160" s="29"/>
      <c r="K160" s="29"/>
      <c r="L160" s="29"/>
      <c r="M160" s="29"/>
      <c r="N160" s="29"/>
      <c r="O160" s="29"/>
      <c r="P160" s="29"/>
      <c r="Q160" s="32"/>
      <c r="R160" s="29"/>
      <c r="S160" s="29"/>
      <c r="T160" s="33" t="str">
        <f aca="false">IF(AH160="Void – logged in error","",IF(OR(C160="",S160=""),IF(C160="","","Decide"),IF(OR(S160="Not reportable",S160="Over-3-day injury (record only)"),"No","Yes")))</f>
        <v/>
      </c>
      <c r="U160" s="34" t="str">
        <f aca="false">IF(OR(C160="",S160=""),"",IF(S160="Over-7-day injury",C160+15,IF(OR(S160="Death",S160="Specified injury",S160="Member of public to hospital",S160="Dangerous occurrence"),C160+10,"")))</f>
        <v/>
      </c>
      <c r="V160" s="28" t="str">
        <f aca="true">IF(C160="","",IF(AH160="Void – logged in error","Void",IF(W160&lt;&gt;"","Done – reported",IF(S160="Occupational disease","REPORT NOW – on diagnosis",IF(ISNUMBER(U160),IF(U160&lt;TODAY(),"OVERDUE – report now",IF(U160=TODAY(),"DUE TODAY",IF(U160-TODAY()&lt;='Start here'!$C$7,"DUE in "&amp;(U160-TODAY())&amp;" days",IF(OR(S160="Death",S160="Specified injury",S160="Member of public to hospital",S160="Dangerous occurrence"),"REPORT without delay","Report by date shown")))),IF(AND(N(Q160)&gt;7,OR(S160="",S160="Not reportable",S160="Over-3-day injury (record only)")),"CHECK – over 7 days off",IF(S160="","Decide RIDDOR",IF(S160="Over-3-day injury (record only)","Record only","Not reportable"))))))))</f>
        <v/>
      </c>
      <c r="W160" s="30"/>
      <c r="X160" s="29"/>
      <c r="Y160" s="32"/>
      <c r="Z160" s="29"/>
      <c r="AA160" s="35"/>
      <c r="AB160" s="29"/>
      <c r="AC160" s="29"/>
      <c r="AD160" s="29"/>
      <c r="AE160" s="29"/>
      <c r="AF160" s="29"/>
      <c r="AG160" s="30"/>
      <c r="AH160" s="29"/>
      <c r="AI160" s="36" t="str">
        <f aca="true">IF(OR(C160="",AH160="Closed",AH160="Void – logged in error",AG160=""),"",IF(AG160&lt;TODAY(),"OVERDUE",IF(AG160-TODAY()&lt;='Start here'!$C$8,"Due soon","On track")))</f>
        <v/>
      </c>
      <c r="AJ160" s="29"/>
      <c r="AK160" s="29"/>
      <c r="AL160" s="30"/>
      <c r="AM160" s="37" t="str">
        <f aca="false">IF(AND(C160&lt;&gt;"",AH160&lt;&gt;"Closed",AH160&lt;&gt;"Void – logged in error",OR(AH160&lt;&gt;"",AD160&lt;&gt;"",AE160&lt;&gt;"",AF160&lt;&gt;"",AG160&lt;&gt;"")),ROW(),"")</f>
        <v/>
      </c>
    </row>
    <row r="161" customFormat="false" ht="30" hidden="false" customHeight="true" outlineLevel="0" collapsed="false">
      <c r="A161" s="28" t="str">
        <f aca="false">IF(C161="","","INC-"&amp;YEAR(C161)&amp;"-"&amp;TEXT(COUNTIFS($C$6:C161,"&gt;="&amp;DATE(YEAR(C161),1,1),$C$6:C161,"&lt;="&amp;DATE(YEAR(C161),12,31)),"000"))</f>
        <v/>
      </c>
      <c r="B161" s="29"/>
      <c r="C161" s="30"/>
      <c r="D161" s="31"/>
      <c r="E161" s="30"/>
      <c r="F161" s="29"/>
      <c r="G161" s="29"/>
      <c r="H161" s="29"/>
      <c r="I161" s="29"/>
      <c r="J161" s="29"/>
      <c r="K161" s="29"/>
      <c r="L161" s="29"/>
      <c r="M161" s="29"/>
      <c r="N161" s="29"/>
      <c r="O161" s="29"/>
      <c r="P161" s="29"/>
      <c r="Q161" s="32"/>
      <c r="R161" s="29"/>
      <c r="S161" s="29"/>
      <c r="T161" s="33" t="str">
        <f aca="false">IF(AH161="Void – logged in error","",IF(OR(C161="",S161=""),IF(C161="","","Decide"),IF(OR(S161="Not reportable",S161="Over-3-day injury (record only)"),"No","Yes")))</f>
        <v/>
      </c>
      <c r="U161" s="34" t="str">
        <f aca="false">IF(OR(C161="",S161=""),"",IF(S161="Over-7-day injury",C161+15,IF(OR(S161="Death",S161="Specified injury",S161="Member of public to hospital",S161="Dangerous occurrence"),C161+10,"")))</f>
        <v/>
      </c>
      <c r="V161" s="28" t="str">
        <f aca="true">IF(C161="","",IF(AH161="Void – logged in error","Void",IF(W161&lt;&gt;"","Done – reported",IF(S161="Occupational disease","REPORT NOW – on diagnosis",IF(ISNUMBER(U161),IF(U161&lt;TODAY(),"OVERDUE – report now",IF(U161=TODAY(),"DUE TODAY",IF(U161-TODAY()&lt;='Start here'!$C$7,"DUE in "&amp;(U161-TODAY())&amp;" days",IF(OR(S161="Death",S161="Specified injury",S161="Member of public to hospital",S161="Dangerous occurrence"),"REPORT without delay","Report by date shown")))),IF(AND(N(Q161)&gt;7,OR(S161="",S161="Not reportable",S161="Over-3-day injury (record only)")),"CHECK – over 7 days off",IF(S161="","Decide RIDDOR",IF(S161="Over-3-day injury (record only)","Record only","Not reportable"))))))))</f>
        <v/>
      </c>
      <c r="W161" s="30"/>
      <c r="X161" s="29"/>
      <c r="Y161" s="32"/>
      <c r="Z161" s="29"/>
      <c r="AA161" s="35"/>
      <c r="AB161" s="29"/>
      <c r="AC161" s="29"/>
      <c r="AD161" s="29"/>
      <c r="AE161" s="29"/>
      <c r="AF161" s="29"/>
      <c r="AG161" s="30"/>
      <c r="AH161" s="29"/>
      <c r="AI161" s="36" t="str">
        <f aca="true">IF(OR(C161="",AH161="Closed",AH161="Void – logged in error",AG161=""),"",IF(AG161&lt;TODAY(),"OVERDUE",IF(AG161-TODAY()&lt;='Start here'!$C$8,"Due soon","On track")))</f>
        <v/>
      </c>
      <c r="AJ161" s="29"/>
      <c r="AK161" s="29"/>
      <c r="AL161" s="30"/>
      <c r="AM161" s="37" t="str">
        <f aca="false">IF(AND(C161&lt;&gt;"",AH161&lt;&gt;"Closed",AH161&lt;&gt;"Void – logged in error",OR(AH161&lt;&gt;"",AD161&lt;&gt;"",AE161&lt;&gt;"",AF161&lt;&gt;"",AG161&lt;&gt;"")),ROW(),"")</f>
        <v/>
      </c>
    </row>
    <row r="162" customFormat="false" ht="30" hidden="false" customHeight="true" outlineLevel="0" collapsed="false">
      <c r="A162" s="28" t="str">
        <f aca="false">IF(C162="","","INC-"&amp;YEAR(C162)&amp;"-"&amp;TEXT(COUNTIFS($C$6:C162,"&gt;="&amp;DATE(YEAR(C162),1,1),$C$6:C162,"&lt;="&amp;DATE(YEAR(C162),12,31)),"000"))</f>
        <v/>
      </c>
      <c r="B162" s="29"/>
      <c r="C162" s="30"/>
      <c r="D162" s="31"/>
      <c r="E162" s="30"/>
      <c r="F162" s="29"/>
      <c r="G162" s="29"/>
      <c r="H162" s="29"/>
      <c r="I162" s="29"/>
      <c r="J162" s="29"/>
      <c r="K162" s="29"/>
      <c r="L162" s="29"/>
      <c r="M162" s="29"/>
      <c r="N162" s="29"/>
      <c r="O162" s="29"/>
      <c r="P162" s="29"/>
      <c r="Q162" s="32"/>
      <c r="R162" s="29"/>
      <c r="S162" s="29"/>
      <c r="T162" s="33" t="str">
        <f aca="false">IF(AH162="Void – logged in error","",IF(OR(C162="",S162=""),IF(C162="","","Decide"),IF(OR(S162="Not reportable",S162="Over-3-day injury (record only)"),"No","Yes")))</f>
        <v/>
      </c>
      <c r="U162" s="34" t="str">
        <f aca="false">IF(OR(C162="",S162=""),"",IF(S162="Over-7-day injury",C162+15,IF(OR(S162="Death",S162="Specified injury",S162="Member of public to hospital",S162="Dangerous occurrence"),C162+10,"")))</f>
        <v/>
      </c>
      <c r="V162" s="28" t="str">
        <f aca="true">IF(C162="","",IF(AH162="Void – logged in error","Void",IF(W162&lt;&gt;"","Done – reported",IF(S162="Occupational disease","REPORT NOW – on diagnosis",IF(ISNUMBER(U162),IF(U162&lt;TODAY(),"OVERDUE – report now",IF(U162=TODAY(),"DUE TODAY",IF(U162-TODAY()&lt;='Start here'!$C$7,"DUE in "&amp;(U162-TODAY())&amp;" days",IF(OR(S162="Death",S162="Specified injury",S162="Member of public to hospital",S162="Dangerous occurrence"),"REPORT without delay","Report by date shown")))),IF(AND(N(Q162)&gt;7,OR(S162="",S162="Not reportable",S162="Over-3-day injury (record only)")),"CHECK – over 7 days off",IF(S162="","Decide RIDDOR",IF(S162="Over-3-day injury (record only)","Record only","Not reportable"))))))))</f>
        <v/>
      </c>
      <c r="W162" s="30"/>
      <c r="X162" s="29"/>
      <c r="Y162" s="32"/>
      <c r="Z162" s="29"/>
      <c r="AA162" s="35"/>
      <c r="AB162" s="29"/>
      <c r="AC162" s="29"/>
      <c r="AD162" s="29"/>
      <c r="AE162" s="29"/>
      <c r="AF162" s="29"/>
      <c r="AG162" s="30"/>
      <c r="AH162" s="29"/>
      <c r="AI162" s="36" t="str">
        <f aca="true">IF(OR(C162="",AH162="Closed",AH162="Void – logged in error",AG162=""),"",IF(AG162&lt;TODAY(),"OVERDUE",IF(AG162-TODAY()&lt;='Start here'!$C$8,"Due soon","On track")))</f>
        <v/>
      </c>
      <c r="AJ162" s="29"/>
      <c r="AK162" s="29"/>
      <c r="AL162" s="30"/>
      <c r="AM162" s="37" t="str">
        <f aca="false">IF(AND(C162&lt;&gt;"",AH162&lt;&gt;"Closed",AH162&lt;&gt;"Void – logged in error",OR(AH162&lt;&gt;"",AD162&lt;&gt;"",AE162&lt;&gt;"",AF162&lt;&gt;"",AG162&lt;&gt;"")),ROW(),"")</f>
        <v/>
      </c>
    </row>
    <row r="163" customFormat="false" ht="30" hidden="false" customHeight="true" outlineLevel="0" collapsed="false">
      <c r="A163" s="28" t="str">
        <f aca="false">IF(C163="","","INC-"&amp;YEAR(C163)&amp;"-"&amp;TEXT(COUNTIFS($C$6:C163,"&gt;="&amp;DATE(YEAR(C163),1,1),$C$6:C163,"&lt;="&amp;DATE(YEAR(C163),12,31)),"000"))</f>
        <v/>
      </c>
      <c r="B163" s="29"/>
      <c r="C163" s="30"/>
      <c r="D163" s="31"/>
      <c r="E163" s="30"/>
      <c r="F163" s="29"/>
      <c r="G163" s="29"/>
      <c r="H163" s="29"/>
      <c r="I163" s="29"/>
      <c r="J163" s="29"/>
      <c r="K163" s="29"/>
      <c r="L163" s="29"/>
      <c r="M163" s="29"/>
      <c r="N163" s="29"/>
      <c r="O163" s="29"/>
      <c r="P163" s="29"/>
      <c r="Q163" s="32"/>
      <c r="R163" s="29"/>
      <c r="S163" s="29"/>
      <c r="T163" s="33" t="str">
        <f aca="false">IF(AH163="Void – logged in error","",IF(OR(C163="",S163=""),IF(C163="","","Decide"),IF(OR(S163="Not reportable",S163="Over-3-day injury (record only)"),"No","Yes")))</f>
        <v/>
      </c>
      <c r="U163" s="34" t="str">
        <f aca="false">IF(OR(C163="",S163=""),"",IF(S163="Over-7-day injury",C163+15,IF(OR(S163="Death",S163="Specified injury",S163="Member of public to hospital",S163="Dangerous occurrence"),C163+10,"")))</f>
        <v/>
      </c>
      <c r="V163" s="28" t="str">
        <f aca="true">IF(C163="","",IF(AH163="Void – logged in error","Void",IF(W163&lt;&gt;"","Done – reported",IF(S163="Occupational disease","REPORT NOW – on diagnosis",IF(ISNUMBER(U163),IF(U163&lt;TODAY(),"OVERDUE – report now",IF(U163=TODAY(),"DUE TODAY",IF(U163-TODAY()&lt;='Start here'!$C$7,"DUE in "&amp;(U163-TODAY())&amp;" days",IF(OR(S163="Death",S163="Specified injury",S163="Member of public to hospital",S163="Dangerous occurrence"),"REPORT without delay","Report by date shown")))),IF(AND(N(Q163)&gt;7,OR(S163="",S163="Not reportable",S163="Over-3-day injury (record only)")),"CHECK – over 7 days off",IF(S163="","Decide RIDDOR",IF(S163="Over-3-day injury (record only)","Record only","Not reportable"))))))))</f>
        <v/>
      </c>
      <c r="W163" s="30"/>
      <c r="X163" s="29"/>
      <c r="Y163" s="32"/>
      <c r="Z163" s="29"/>
      <c r="AA163" s="35"/>
      <c r="AB163" s="29"/>
      <c r="AC163" s="29"/>
      <c r="AD163" s="29"/>
      <c r="AE163" s="29"/>
      <c r="AF163" s="29"/>
      <c r="AG163" s="30"/>
      <c r="AH163" s="29"/>
      <c r="AI163" s="36" t="str">
        <f aca="true">IF(OR(C163="",AH163="Closed",AH163="Void – logged in error",AG163=""),"",IF(AG163&lt;TODAY(),"OVERDUE",IF(AG163-TODAY()&lt;='Start here'!$C$8,"Due soon","On track")))</f>
        <v/>
      </c>
      <c r="AJ163" s="29"/>
      <c r="AK163" s="29"/>
      <c r="AL163" s="30"/>
      <c r="AM163" s="37" t="str">
        <f aca="false">IF(AND(C163&lt;&gt;"",AH163&lt;&gt;"Closed",AH163&lt;&gt;"Void – logged in error",OR(AH163&lt;&gt;"",AD163&lt;&gt;"",AE163&lt;&gt;"",AF163&lt;&gt;"",AG163&lt;&gt;"")),ROW(),"")</f>
        <v/>
      </c>
    </row>
    <row r="164" customFormat="false" ht="30" hidden="false" customHeight="true" outlineLevel="0" collapsed="false">
      <c r="A164" s="28" t="str">
        <f aca="false">IF(C164="","","INC-"&amp;YEAR(C164)&amp;"-"&amp;TEXT(COUNTIFS($C$6:C164,"&gt;="&amp;DATE(YEAR(C164),1,1),$C$6:C164,"&lt;="&amp;DATE(YEAR(C164),12,31)),"000"))</f>
        <v/>
      </c>
      <c r="B164" s="29"/>
      <c r="C164" s="30"/>
      <c r="D164" s="31"/>
      <c r="E164" s="30"/>
      <c r="F164" s="29"/>
      <c r="G164" s="29"/>
      <c r="H164" s="29"/>
      <c r="I164" s="29"/>
      <c r="J164" s="29"/>
      <c r="K164" s="29"/>
      <c r="L164" s="29"/>
      <c r="M164" s="29"/>
      <c r="N164" s="29"/>
      <c r="O164" s="29"/>
      <c r="P164" s="29"/>
      <c r="Q164" s="32"/>
      <c r="R164" s="29"/>
      <c r="S164" s="29"/>
      <c r="T164" s="33" t="str">
        <f aca="false">IF(AH164="Void – logged in error","",IF(OR(C164="",S164=""),IF(C164="","","Decide"),IF(OR(S164="Not reportable",S164="Over-3-day injury (record only)"),"No","Yes")))</f>
        <v/>
      </c>
      <c r="U164" s="34" t="str">
        <f aca="false">IF(OR(C164="",S164=""),"",IF(S164="Over-7-day injury",C164+15,IF(OR(S164="Death",S164="Specified injury",S164="Member of public to hospital",S164="Dangerous occurrence"),C164+10,"")))</f>
        <v/>
      </c>
      <c r="V164" s="28" t="str">
        <f aca="true">IF(C164="","",IF(AH164="Void – logged in error","Void",IF(W164&lt;&gt;"","Done – reported",IF(S164="Occupational disease","REPORT NOW – on diagnosis",IF(ISNUMBER(U164),IF(U164&lt;TODAY(),"OVERDUE – report now",IF(U164=TODAY(),"DUE TODAY",IF(U164-TODAY()&lt;='Start here'!$C$7,"DUE in "&amp;(U164-TODAY())&amp;" days",IF(OR(S164="Death",S164="Specified injury",S164="Member of public to hospital",S164="Dangerous occurrence"),"REPORT without delay","Report by date shown")))),IF(AND(N(Q164)&gt;7,OR(S164="",S164="Not reportable",S164="Over-3-day injury (record only)")),"CHECK – over 7 days off",IF(S164="","Decide RIDDOR",IF(S164="Over-3-day injury (record only)","Record only","Not reportable"))))))))</f>
        <v/>
      </c>
      <c r="W164" s="30"/>
      <c r="X164" s="29"/>
      <c r="Y164" s="32"/>
      <c r="Z164" s="29"/>
      <c r="AA164" s="35"/>
      <c r="AB164" s="29"/>
      <c r="AC164" s="29"/>
      <c r="AD164" s="29"/>
      <c r="AE164" s="29"/>
      <c r="AF164" s="29"/>
      <c r="AG164" s="30"/>
      <c r="AH164" s="29"/>
      <c r="AI164" s="36" t="str">
        <f aca="true">IF(OR(C164="",AH164="Closed",AH164="Void – logged in error",AG164=""),"",IF(AG164&lt;TODAY(),"OVERDUE",IF(AG164-TODAY()&lt;='Start here'!$C$8,"Due soon","On track")))</f>
        <v/>
      </c>
      <c r="AJ164" s="29"/>
      <c r="AK164" s="29"/>
      <c r="AL164" s="30"/>
      <c r="AM164" s="37" t="str">
        <f aca="false">IF(AND(C164&lt;&gt;"",AH164&lt;&gt;"Closed",AH164&lt;&gt;"Void – logged in error",OR(AH164&lt;&gt;"",AD164&lt;&gt;"",AE164&lt;&gt;"",AF164&lt;&gt;"",AG164&lt;&gt;"")),ROW(),"")</f>
        <v/>
      </c>
    </row>
    <row r="165" customFormat="false" ht="30" hidden="false" customHeight="true" outlineLevel="0" collapsed="false">
      <c r="A165" s="28" t="str">
        <f aca="false">IF(C165="","","INC-"&amp;YEAR(C165)&amp;"-"&amp;TEXT(COUNTIFS($C$6:C165,"&gt;="&amp;DATE(YEAR(C165),1,1),$C$6:C165,"&lt;="&amp;DATE(YEAR(C165),12,31)),"000"))</f>
        <v/>
      </c>
      <c r="B165" s="29"/>
      <c r="C165" s="30"/>
      <c r="D165" s="31"/>
      <c r="E165" s="30"/>
      <c r="F165" s="29"/>
      <c r="G165" s="29"/>
      <c r="H165" s="29"/>
      <c r="I165" s="29"/>
      <c r="J165" s="29"/>
      <c r="K165" s="29"/>
      <c r="L165" s="29"/>
      <c r="M165" s="29"/>
      <c r="N165" s="29"/>
      <c r="O165" s="29"/>
      <c r="P165" s="29"/>
      <c r="Q165" s="32"/>
      <c r="R165" s="29"/>
      <c r="S165" s="29"/>
      <c r="T165" s="33" t="str">
        <f aca="false">IF(AH165="Void – logged in error","",IF(OR(C165="",S165=""),IF(C165="","","Decide"),IF(OR(S165="Not reportable",S165="Over-3-day injury (record only)"),"No","Yes")))</f>
        <v/>
      </c>
      <c r="U165" s="34" t="str">
        <f aca="false">IF(OR(C165="",S165=""),"",IF(S165="Over-7-day injury",C165+15,IF(OR(S165="Death",S165="Specified injury",S165="Member of public to hospital",S165="Dangerous occurrence"),C165+10,"")))</f>
        <v/>
      </c>
      <c r="V165" s="28" t="str">
        <f aca="true">IF(C165="","",IF(AH165="Void – logged in error","Void",IF(W165&lt;&gt;"","Done – reported",IF(S165="Occupational disease","REPORT NOW – on diagnosis",IF(ISNUMBER(U165),IF(U165&lt;TODAY(),"OVERDUE – report now",IF(U165=TODAY(),"DUE TODAY",IF(U165-TODAY()&lt;='Start here'!$C$7,"DUE in "&amp;(U165-TODAY())&amp;" days",IF(OR(S165="Death",S165="Specified injury",S165="Member of public to hospital",S165="Dangerous occurrence"),"REPORT without delay","Report by date shown")))),IF(AND(N(Q165)&gt;7,OR(S165="",S165="Not reportable",S165="Over-3-day injury (record only)")),"CHECK – over 7 days off",IF(S165="","Decide RIDDOR",IF(S165="Over-3-day injury (record only)","Record only","Not reportable"))))))))</f>
        <v/>
      </c>
      <c r="W165" s="30"/>
      <c r="X165" s="29"/>
      <c r="Y165" s="32"/>
      <c r="Z165" s="29"/>
      <c r="AA165" s="35"/>
      <c r="AB165" s="29"/>
      <c r="AC165" s="29"/>
      <c r="AD165" s="29"/>
      <c r="AE165" s="29"/>
      <c r="AF165" s="29"/>
      <c r="AG165" s="30"/>
      <c r="AH165" s="29"/>
      <c r="AI165" s="36" t="str">
        <f aca="true">IF(OR(C165="",AH165="Closed",AH165="Void – logged in error",AG165=""),"",IF(AG165&lt;TODAY(),"OVERDUE",IF(AG165-TODAY()&lt;='Start here'!$C$8,"Due soon","On track")))</f>
        <v/>
      </c>
      <c r="AJ165" s="29"/>
      <c r="AK165" s="29"/>
      <c r="AL165" s="30"/>
      <c r="AM165" s="37" t="str">
        <f aca="false">IF(AND(C165&lt;&gt;"",AH165&lt;&gt;"Closed",AH165&lt;&gt;"Void – logged in error",OR(AH165&lt;&gt;"",AD165&lt;&gt;"",AE165&lt;&gt;"",AF165&lt;&gt;"",AG165&lt;&gt;"")),ROW(),"")</f>
        <v/>
      </c>
    </row>
    <row r="166" customFormat="false" ht="30" hidden="false" customHeight="true" outlineLevel="0" collapsed="false">
      <c r="A166" s="28" t="str">
        <f aca="false">IF(C166="","","INC-"&amp;YEAR(C166)&amp;"-"&amp;TEXT(COUNTIFS($C$6:C166,"&gt;="&amp;DATE(YEAR(C166),1,1),$C$6:C166,"&lt;="&amp;DATE(YEAR(C166),12,31)),"000"))</f>
        <v/>
      </c>
      <c r="B166" s="29"/>
      <c r="C166" s="30"/>
      <c r="D166" s="31"/>
      <c r="E166" s="30"/>
      <c r="F166" s="29"/>
      <c r="G166" s="29"/>
      <c r="H166" s="29"/>
      <c r="I166" s="29"/>
      <c r="J166" s="29"/>
      <c r="K166" s="29"/>
      <c r="L166" s="29"/>
      <c r="M166" s="29"/>
      <c r="N166" s="29"/>
      <c r="O166" s="29"/>
      <c r="P166" s="29"/>
      <c r="Q166" s="32"/>
      <c r="R166" s="29"/>
      <c r="S166" s="29"/>
      <c r="T166" s="33" t="str">
        <f aca="false">IF(AH166="Void – logged in error","",IF(OR(C166="",S166=""),IF(C166="","","Decide"),IF(OR(S166="Not reportable",S166="Over-3-day injury (record only)"),"No","Yes")))</f>
        <v/>
      </c>
      <c r="U166" s="34" t="str">
        <f aca="false">IF(OR(C166="",S166=""),"",IF(S166="Over-7-day injury",C166+15,IF(OR(S166="Death",S166="Specified injury",S166="Member of public to hospital",S166="Dangerous occurrence"),C166+10,"")))</f>
        <v/>
      </c>
      <c r="V166" s="28" t="str">
        <f aca="true">IF(C166="","",IF(AH166="Void – logged in error","Void",IF(W166&lt;&gt;"","Done – reported",IF(S166="Occupational disease","REPORT NOW – on diagnosis",IF(ISNUMBER(U166),IF(U166&lt;TODAY(),"OVERDUE – report now",IF(U166=TODAY(),"DUE TODAY",IF(U166-TODAY()&lt;='Start here'!$C$7,"DUE in "&amp;(U166-TODAY())&amp;" days",IF(OR(S166="Death",S166="Specified injury",S166="Member of public to hospital",S166="Dangerous occurrence"),"REPORT without delay","Report by date shown")))),IF(AND(N(Q166)&gt;7,OR(S166="",S166="Not reportable",S166="Over-3-day injury (record only)")),"CHECK – over 7 days off",IF(S166="","Decide RIDDOR",IF(S166="Over-3-day injury (record only)","Record only","Not reportable"))))))))</f>
        <v/>
      </c>
      <c r="W166" s="30"/>
      <c r="X166" s="29"/>
      <c r="Y166" s="32"/>
      <c r="Z166" s="29"/>
      <c r="AA166" s="35"/>
      <c r="AB166" s="29"/>
      <c r="AC166" s="29"/>
      <c r="AD166" s="29"/>
      <c r="AE166" s="29"/>
      <c r="AF166" s="29"/>
      <c r="AG166" s="30"/>
      <c r="AH166" s="29"/>
      <c r="AI166" s="36" t="str">
        <f aca="true">IF(OR(C166="",AH166="Closed",AH166="Void – logged in error",AG166=""),"",IF(AG166&lt;TODAY(),"OVERDUE",IF(AG166-TODAY()&lt;='Start here'!$C$8,"Due soon","On track")))</f>
        <v/>
      </c>
      <c r="AJ166" s="29"/>
      <c r="AK166" s="29"/>
      <c r="AL166" s="30"/>
      <c r="AM166" s="37" t="str">
        <f aca="false">IF(AND(C166&lt;&gt;"",AH166&lt;&gt;"Closed",AH166&lt;&gt;"Void – logged in error",OR(AH166&lt;&gt;"",AD166&lt;&gt;"",AE166&lt;&gt;"",AF166&lt;&gt;"",AG166&lt;&gt;"")),ROW(),"")</f>
        <v/>
      </c>
    </row>
    <row r="167" customFormat="false" ht="30" hidden="false" customHeight="true" outlineLevel="0" collapsed="false">
      <c r="A167" s="28" t="str">
        <f aca="false">IF(C167="","","INC-"&amp;YEAR(C167)&amp;"-"&amp;TEXT(COUNTIFS($C$6:C167,"&gt;="&amp;DATE(YEAR(C167),1,1),$C$6:C167,"&lt;="&amp;DATE(YEAR(C167),12,31)),"000"))</f>
        <v/>
      </c>
      <c r="B167" s="29"/>
      <c r="C167" s="30"/>
      <c r="D167" s="31"/>
      <c r="E167" s="30"/>
      <c r="F167" s="29"/>
      <c r="G167" s="29"/>
      <c r="H167" s="29"/>
      <c r="I167" s="29"/>
      <c r="J167" s="29"/>
      <c r="K167" s="29"/>
      <c r="L167" s="29"/>
      <c r="M167" s="29"/>
      <c r="N167" s="29"/>
      <c r="O167" s="29"/>
      <c r="P167" s="29"/>
      <c r="Q167" s="32"/>
      <c r="R167" s="29"/>
      <c r="S167" s="29"/>
      <c r="T167" s="33" t="str">
        <f aca="false">IF(AH167="Void – logged in error","",IF(OR(C167="",S167=""),IF(C167="","","Decide"),IF(OR(S167="Not reportable",S167="Over-3-day injury (record only)"),"No","Yes")))</f>
        <v/>
      </c>
      <c r="U167" s="34" t="str">
        <f aca="false">IF(OR(C167="",S167=""),"",IF(S167="Over-7-day injury",C167+15,IF(OR(S167="Death",S167="Specified injury",S167="Member of public to hospital",S167="Dangerous occurrence"),C167+10,"")))</f>
        <v/>
      </c>
      <c r="V167" s="28" t="str">
        <f aca="true">IF(C167="","",IF(AH167="Void – logged in error","Void",IF(W167&lt;&gt;"","Done – reported",IF(S167="Occupational disease","REPORT NOW – on diagnosis",IF(ISNUMBER(U167),IF(U167&lt;TODAY(),"OVERDUE – report now",IF(U167=TODAY(),"DUE TODAY",IF(U167-TODAY()&lt;='Start here'!$C$7,"DUE in "&amp;(U167-TODAY())&amp;" days",IF(OR(S167="Death",S167="Specified injury",S167="Member of public to hospital",S167="Dangerous occurrence"),"REPORT without delay","Report by date shown")))),IF(AND(N(Q167)&gt;7,OR(S167="",S167="Not reportable",S167="Over-3-day injury (record only)")),"CHECK – over 7 days off",IF(S167="","Decide RIDDOR",IF(S167="Over-3-day injury (record only)","Record only","Not reportable"))))))))</f>
        <v/>
      </c>
      <c r="W167" s="30"/>
      <c r="X167" s="29"/>
      <c r="Y167" s="32"/>
      <c r="Z167" s="29"/>
      <c r="AA167" s="35"/>
      <c r="AB167" s="29"/>
      <c r="AC167" s="29"/>
      <c r="AD167" s="29"/>
      <c r="AE167" s="29"/>
      <c r="AF167" s="29"/>
      <c r="AG167" s="30"/>
      <c r="AH167" s="29"/>
      <c r="AI167" s="36" t="str">
        <f aca="true">IF(OR(C167="",AH167="Closed",AH167="Void – logged in error",AG167=""),"",IF(AG167&lt;TODAY(),"OVERDUE",IF(AG167-TODAY()&lt;='Start here'!$C$8,"Due soon","On track")))</f>
        <v/>
      </c>
      <c r="AJ167" s="29"/>
      <c r="AK167" s="29"/>
      <c r="AL167" s="30"/>
      <c r="AM167" s="37" t="str">
        <f aca="false">IF(AND(C167&lt;&gt;"",AH167&lt;&gt;"Closed",AH167&lt;&gt;"Void – logged in error",OR(AH167&lt;&gt;"",AD167&lt;&gt;"",AE167&lt;&gt;"",AF167&lt;&gt;"",AG167&lt;&gt;"")),ROW(),"")</f>
        <v/>
      </c>
    </row>
    <row r="168" customFormat="false" ht="30" hidden="false" customHeight="true" outlineLevel="0" collapsed="false">
      <c r="A168" s="28" t="str">
        <f aca="false">IF(C168="","","INC-"&amp;YEAR(C168)&amp;"-"&amp;TEXT(COUNTIFS($C$6:C168,"&gt;="&amp;DATE(YEAR(C168),1,1),$C$6:C168,"&lt;="&amp;DATE(YEAR(C168),12,31)),"000"))</f>
        <v/>
      </c>
      <c r="B168" s="29"/>
      <c r="C168" s="30"/>
      <c r="D168" s="31"/>
      <c r="E168" s="30"/>
      <c r="F168" s="29"/>
      <c r="G168" s="29"/>
      <c r="H168" s="29"/>
      <c r="I168" s="29"/>
      <c r="J168" s="29"/>
      <c r="K168" s="29"/>
      <c r="L168" s="29"/>
      <c r="M168" s="29"/>
      <c r="N168" s="29"/>
      <c r="O168" s="29"/>
      <c r="P168" s="29"/>
      <c r="Q168" s="32"/>
      <c r="R168" s="29"/>
      <c r="S168" s="29"/>
      <c r="T168" s="33" t="str">
        <f aca="false">IF(AH168="Void – logged in error","",IF(OR(C168="",S168=""),IF(C168="","","Decide"),IF(OR(S168="Not reportable",S168="Over-3-day injury (record only)"),"No","Yes")))</f>
        <v/>
      </c>
      <c r="U168" s="34" t="str">
        <f aca="false">IF(OR(C168="",S168=""),"",IF(S168="Over-7-day injury",C168+15,IF(OR(S168="Death",S168="Specified injury",S168="Member of public to hospital",S168="Dangerous occurrence"),C168+10,"")))</f>
        <v/>
      </c>
      <c r="V168" s="28" t="str">
        <f aca="true">IF(C168="","",IF(AH168="Void – logged in error","Void",IF(W168&lt;&gt;"","Done – reported",IF(S168="Occupational disease","REPORT NOW – on diagnosis",IF(ISNUMBER(U168),IF(U168&lt;TODAY(),"OVERDUE – report now",IF(U168=TODAY(),"DUE TODAY",IF(U168-TODAY()&lt;='Start here'!$C$7,"DUE in "&amp;(U168-TODAY())&amp;" days",IF(OR(S168="Death",S168="Specified injury",S168="Member of public to hospital",S168="Dangerous occurrence"),"REPORT without delay","Report by date shown")))),IF(AND(N(Q168)&gt;7,OR(S168="",S168="Not reportable",S168="Over-3-day injury (record only)")),"CHECK – over 7 days off",IF(S168="","Decide RIDDOR",IF(S168="Over-3-day injury (record only)","Record only","Not reportable"))))))))</f>
        <v/>
      </c>
      <c r="W168" s="30"/>
      <c r="X168" s="29"/>
      <c r="Y168" s="32"/>
      <c r="Z168" s="29"/>
      <c r="AA168" s="35"/>
      <c r="AB168" s="29"/>
      <c r="AC168" s="29"/>
      <c r="AD168" s="29"/>
      <c r="AE168" s="29"/>
      <c r="AF168" s="29"/>
      <c r="AG168" s="30"/>
      <c r="AH168" s="29"/>
      <c r="AI168" s="36" t="str">
        <f aca="true">IF(OR(C168="",AH168="Closed",AH168="Void – logged in error",AG168=""),"",IF(AG168&lt;TODAY(),"OVERDUE",IF(AG168-TODAY()&lt;='Start here'!$C$8,"Due soon","On track")))</f>
        <v/>
      </c>
      <c r="AJ168" s="29"/>
      <c r="AK168" s="29"/>
      <c r="AL168" s="30"/>
      <c r="AM168" s="37" t="str">
        <f aca="false">IF(AND(C168&lt;&gt;"",AH168&lt;&gt;"Closed",AH168&lt;&gt;"Void – logged in error",OR(AH168&lt;&gt;"",AD168&lt;&gt;"",AE168&lt;&gt;"",AF168&lt;&gt;"",AG168&lt;&gt;"")),ROW(),"")</f>
        <v/>
      </c>
    </row>
    <row r="169" customFormat="false" ht="30" hidden="false" customHeight="true" outlineLevel="0" collapsed="false">
      <c r="A169" s="28" t="str">
        <f aca="false">IF(C169="","","INC-"&amp;YEAR(C169)&amp;"-"&amp;TEXT(COUNTIFS($C$6:C169,"&gt;="&amp;DATE(YEAR(C169),1,1),$C$6:C169,"&lt;="&amp;DATE(YEAR(C169),12,31)),"000"))</f>
        <v/>
      </c>
      <c r="B169" s="29"/>
      <c r="C169" s="30"/>
      <c r="D169" s="31"/>
      <c r="E169" s="30"/>
      <c r="F169" s="29"/>
      <c r="G169" s="29"/>
      <c r="H169" s="29"/>
      <c r="I169" s="29"/>
      <c r="J169" s="29"/>
      <c r="K169" s="29"/>
      <c r="L169" s="29"/>
      <c r="M169" s="29"/>
      <c r="N169" s="29"/>
      <c r="O169" s="29"/>
      <c r="P169" s="29"/>
      <c r="Q169" s="32"/>
      <c r="R169" s="29"/>
      <c r="S169" s="29"/>
      <c r="T169" s="33" t="str">
        <f aca="false">IF(AH169="Void – logged in error","",IF(OR(C169="",S169=""),IF(C169="","","Decide"),IF(OR(S169="Not reportable",S169="Over-3-day injury (record only)"),"No","Yes")))</f>
        <v/>
      </c>
      <c r="U169" s="34" t="str">
        <f aca="false">IF(OR(C169="",S169=""),"",IF(S169="Over-7-day injury",C169+15,IF(OR(S169="Death",S169="Specified injury",S169="Member of public to hospital",S169="Dangerous occurrence"),C169+10,"")))</f>
        <v/>
      </c>
      <c r="V169" s="28" t="str">
        <f aca="true">IF(C169="","",IF(AH169="Void – logged in error","Void",IF(W169&lt;&gt;"","Done – reported",IF(S169="Occupational disease","REPORT NOW – on diagnosis",IF(ISNUMBER(U169),IF(U169&lt;TODAY(),"OVERDUE – report now",IF(U169=TODAY(),"DUE TODAY",IF(U169-TODAY()&lt;='Start here'!$C$7,"DUE in "&amp;(U169-TODAY())&amp;" days",IF(OR(S169="Death",S169="Specified injury",S169="Member of public to hospital",S169="Dangerous occurrence"),"REPORT without delay","Report by date shown")))),IF(AND(N(Q169)&gt;7,OR(S169="",S169="Not reportable",S169="Over-3-day injury (record only)")),"CHECK – over 7 days off",IF(S169="","Decide RIDDOR",IF(S169="Over-3-day injury (record only)","Record only","Not reportable"))))))))</f>
        <v/>
      </c>
      <c r="W169" s="30"/>
      <c r="X169" s="29"/>
      <c r="Y169" s="32"/>
      <c r="Z169" s="29"/>
      <c r="AA169" s="35"/>
      <c r="AB169" s="29"/>
      <c r="AC169" s="29"/>
      <c r="AD169" s="29"/>
      <c r="AE169" s="29"/>
      <c r="AF169" s="29"/>
      <c r="AG169" s="30"/>
      <c r="AH169" s="29"/>
      <c r="AI169" s="36" t="str">
        <f aca="true">IF(OR(C169="",AH169="Closed",AH169="Void – logged in error",AG169=""),"",IF(AG169&lt;TODAY(),"OVERDUE",IF(AG169-TODAY()&lt;='Start here'!$C$8,"Due soon","On track")))</f>
        <v/>
      </c>
      <c r="AJ169" s="29"/>
      <c r="AK169" s="29"/>
      <c r="AL169" s="30"/>
      <c r="AM169" s="37" t="str">
        <f aca="false">IF(AND(C169&lt;&gt;"",AH169&lt;&gt;"Closed",AH169&lt;&gt;"Void – logged in error",OR(AH169&lt;&gt;"",AD169&lt;&gt;"",AE169&lt;&gt;"",AF169&lt;&gt;"",AG169&lt;&gt;"")),ROW(),"")</f>
        <v/>
      </c>
    </row>
    <row r="170" customFormat="false" ht="30" hidden="false" customHeight="true" outlineLevel="0" collapsed="false">
      <c r="A170" s="28" t="str">
        <f aca="false">IF(C170="","","INC-"&amp;YEAR(C170)&amp;"-"&amp;TEXT(COUNTIFS($C$6:C170,"&gt;="&amp;DATE(YEAR(C170),1,1),$C$6:C170,"&lt;="&amp;DATE(YEAR(C170),12,31)),"000"))</f>
        <v/>
      </c>
      <c r="B170" s="29"/>
      <c r="C170" s="30"/>
      <c r="D170" s="31"/>
      <c r="E170" s="30"/>
      <c r="F170" s="29"/>
      <c r="G170" s="29"/>
      <c r="H170" s="29"/>
      <c r="I170" s="29"/>
      <c r="J170" s="29"/>
      <c r="K170" s="29"/>
      <c r="L170" s="29"/>
      <c r="M170" s="29"/>
      <c r="N170" s="29"/>
      <c r="O170" s="29"/>
      <c r="P170" s="29"/>
      <c r="Q170" s="32"/>
      <c r="R170" s="29"/>
      <c r="S170" s="29"/>
      <c r="T170" s="33" t="str">
        <f aca="false">IF(AH170="Void – logged in error","",IF(OR(C170="",S170=""),IF(C170="","","Decide"),IF(OR(S170="Not reportable",S170="Over-3-day injury (record only)"),"No","Yes")))</f>
        <v/>
      </c>
      <c r="U170" s="34" t="str">
        <f aca="false">IF(OR(C170="",S170=""),"",IF(S170="Over-7-day injury",C170+15,IF(OR(S170="Death",S170="Specified injury",S170="Member of public to hospital",S170="Dangerous occurrence"),C170+10,"")))</f>
        <v/>
      </c>
      <c r="V170" s="28" t="str">
        <f aca="true">IF(C170="","",IF(AH170="Void – logged in error","Void",IF(W170&lt;&gt;"","Done – reported",IF(S170="Occupational disease","REPORT NOW – on diagnosis",IF(ISNUMBER(U170),IF(U170&lt;TODAY(),"OVERDUE – report now",IF(U170=TODAY(),"DUE TODAY",IF(U170-TODAY()&lt;='Start here'!$C$7,"DUE in "&amp;(U170-TODAY())&amp;" days",IF(OR(S170="Death",S170="Specified injury",S170="Member of public to hospital",S170="Dangerous occurrence"),"REPORT without delay","Report by date shown")))),IF(AND(N(Q170)&gt;7,OR(S170="",S170="Not reportable",S170="Over-3-day injury (record only)")),"CHECK – over 7 days off",IF(S170="","Decide RIDDOR",IF(S170="Over-3-day injury (record only)","Record only","Not reportable"))))))))</f>
        <v/>
      </c>
      <c r="W170" s="30"/>
      <c r="X170" s="29"/>
      <c r="Y170" s="32"/>
      <c r="Z170" s="29"/>
      <c r="AA170" s="35"/>
      <c r="AB170" s="29"/>
      <c r="AC170" s="29"/>
      <c r="AD170" s="29"/>
      <c r="AE170" s="29"/>
      <c r="AF170" s="29"/>
      <c r="AG170" s="30"/>
      <c r="AH170" s="29"/>
      <c r="AI170" s="36" t="str">
        <f aca="true">IF(OR(C170="",AH170="Closed",AH170="Void – logged in error",AG170=""),"",IF(AG170&lt;TODAY(),"OVERDUE",IF(AG170-TODAY()&lt;='Start here'!$C$8,"Due soon","On track")))</f>
        <v/>
      </c>
      <c r="AJ170" s="29"/>
      <c r="AK170" s="29"/>
      <c r="AL170" s="30"/>
      <c r="AM170" s="37" t="str">
        <f aca="false">IF(AND(C170&lt;&gt;"",AH170&lt;&gt;"Closed",AH170&lt;&gt;"Void – logged in error",OR(AH170&lt;&gt;"",AD170&lt;&gt;"",AE170&lt;&gt;"",AF170&lt;&gt;"",AG170&lt;&gt;"")),ROW(),"")</f>
        <v/>
      </c>
    </row>
    <row r="171" customFormat="false" ht="30" hidden="false" customHeight="true" outlineLevel="0" collapsed="false">
      <c r="A171" s="28" t="str">
        <f aca="false">IF(C171="","","INC-"&amp;YEAR(C171)&amp;"-"&amp;TEXT(COUNTIFS($C$6:C171,"&gt;="&amp;DATE(YEAR(C171),1,1),$C$6:C171,"&lt;="&amp;DATE(YEAR(C171),12,31)),"000"))</f>
        <v/>
      </c>
      <c r="B171" s="29"/>
      <c r="C171" s="30"/>
      <c r="D171" s="31"/>
      <c r="E171" s="30"/>
      <c r="F171" s="29"/>
      <c r="G171" s="29"/>
      <c r="H171" s="29"/>
      <c r="I171" s="29"/>
      <c r="J171" s="29"/>
      <c r="K171" s="29"/>
      <c r="L171" s="29"/>
      <c r="M171" s="29"/>
      <c r="N171" s="29"/>
      <c r="O171" s="29"/>
      <c r="P171" s="29"/>
      <c r="Q171" s="32"/>
      <c r="R171" s="29"/>
      <c r="S171" s="29"/>
      <c r="T171" s="33" t="str">
        <f aca="false">IF(AH171="Void – logged in error","",IF(OR(C171="",S171=""),IF(C171="","","Decide"),IF(OR(S171="Not reportable",S171="Over-3-day injury (record only)"),"No","Yes")))</f>
        <v/>
      </c>
      <c r="U171" s="34" t="str">
        <f aca="false">IF(OR(C171="",S171=""),"",IF(S171="Over-7-day injury",C171+15,IF(OR(S171="Death",S171="Specified injury",S171="Member of public to hospital",S171="Dangerous occurrence"),C171+10,"")))</f>
        <v/>
      </c>
      <c r="V171" s="28" t="str">
        <f aca="true">IF(C171="","",IF(AH171="Void – logged in error","Void",IF(W171&lt;&gt;"","Done – reported",IF(S171="Occupational disease","REPORT NOW – on diagnosis",IF(ISNUMBER(U171),IF(U171&lt;TODAY(),"OVERDUE – report now",IF(U171=TODAY(),"DUE TODAY",IF(U171-TODAY()&lt;='Start here'!$C$7,"DUE in "&amp;(U171-TODAY())&amp;" days",IF(OR(S171="Death",S171="Specified injury",S171="Member of public to hospital",S171="Dangerous occurrence"),"REPORT without delay","Report by date shown")))),IF(AND(N(Q171)&gt;7,OR(S171="",S171="Not reportable",S171="Over-3-day injury (record only)")),"CHECK – over 7 days off",IF(S171="","Decide RIDDOR",IF(S171="Over-3-day injury (record only)","Record only","Not reportable"))))))))</f>
        <v/>
      </c>
      <c r="W171" s="30"/>
      <c r="X171" s="29"/>
      <c r="Y171" s="32"/>
      <c r="Z171" s="29"/>
      <c r="AA171" s="35"/>
      <c r="AB171" s="29"/>
      <c r="AC171" s="29"/>
      <c r="AD171" s="29"/>
      <c r="AE171" s="29"/>
      <c r="AF171" s="29"/>
      <c r="AG171" s="30"/>
      <c r="AH171" s="29"/>
      <c r="AI171" s="36" t="str">
        <f aca="true">IF(OR(C171="",AH171="Closed",AH171="Void – logged in error",AG171=""),"",IF(AG171&lt;TODAY(),"OVERDUE",IF(AG171-TODAY()&lt;='Start here'!$C$8,"Due soon","On track")))</f>
        <v/>
      </c>
      <c r="AJ171" s="29"/>
      <c r="AK171" s="29"/>
      <c r="AL171" s="30"/>
      <c r="AM171" s="37" t="str">
        <f aca="false">IF(AND(C171&lt;&gt;"",AH171&lt;&gt;"Closed",AH171&lt;&gt;"Void – logged in error",OR(AH171&lt;&gt;"",AD171&lt;&gt;"",AE171&lt;&gt;"",AF171&lt;&gt;"",AG171&lt;&gt;"")),ROW(),"")</f>
        <v/>
      </c>
    </row>
    <row r="172" customFormat="false" ht="30" hidden="false" customHeight="true" outlineLevel="0" collapsed="false">
      <c r="A172" s="28" t="str">
        <f aca="false">IF(C172="","","INC-"&amp;YEAR(C172)&amp;"-"&amp;TEXT(COUNTIFS($C$6:C172,"&gt;="&amp;DATE(YEAR(C172),1,1),$C$6:C172,"&lt;="&amp;DATE(YEAR(C172),12,31)),"000"))</f>
        <v/>
      </c>
      <c r="B172" s="29"/>
      <c r="C172" s="30"/>
      <c r="D172" s="31"/>
      <c r="E172" s="30"/>
      <c r="F172" s="29"/>
      <c r="G172" s="29"/>
      <c r="H172" s="29"/>
      <c r="I172" s="29"/>
      <c r="J172" s="29"/>
      <c r="K172" s="29"/>
      <c r="L172" s="29"/>
      <c r="M172" s="29"/>
      <c r="N172" s="29"/>
      <c r="O172" s="29"/>
      <c r="P172" s="29"/>
      <c r="Q172" s="32"/>
      <c r="R172" s="29"/>
      <c r="S172" s="29"/>
      <c r="T172" s="33" t="str">
        <f aca="false">IF(AH172="Void – logged in error","",IF(OR(C172="",S172=""),IF(C172="","","Decide"),IF(OR(S172="Not reportable",S172="Over-3-day injury (record only)"),"No","Yes")))</f>
        <v/>
      </c>
      <c r="U172" s="34" t="str">
        <f aca="false">IF(OR(C172="",S172=""),"",IF(S172="Over-7-day injury",C172+15,IF(OR(S172="Death",S172="Specified injury",S172="Member of public to hospital",S172="Dangerous occurrence"),C172+10,"")))</f>
        <v/>
      </c>
      <c r="V172" s="28" t="str">
        <f aca="true">IF(C172="","",IF(AH172="Void – logged in error","Void",IF(W172&lt;&gt;"","Done – reported",IF(S172="Occupational disease","REPORT NOW – on diagnosis",IF(ISNUMBER(U172),IF(U172&lt;TODAY(),"OVERDUE – report now",IF(U172=TODAY(),"DUE TODAY",IF(U172-TODAY()&lt;='Start here'!$C$7,"DUE in "&amp;(U172-TODAY())&amp;" days",IF(OR(S172="Death",S172="Specified injury",S172="Member of public to hospital",S172="Dangerous occurrence"),"REPORT without delay","Report by date shown")))),IF(AND(N(Q172)&gt;7,OR(S172="",S172="Not reportable",S172="Over-3-day injury (record only)")),"CHECK – over 7 days off",IF(S172="","Decide RIDDOR",IF(S172="Over-3-day injury (record only)","Record only","Not reportable"))))))))</f>
        <v/>
      </c>
      <c r="W172" s="30"/>
      <c r="X172" s="29"/>
      <c r="Y172" s="32"/>
      <c r="Z172" s="29"/>
      <c r="AA172" s="35"/>
      <c r="AB172" s="29"/>
      <c r="AC172" s="29"/>
      <c r="AD172" s="29"/>
      <c r="AE172" s="29"/>
      <c r="AF172" s="29"/>
      <c r="AG172" s="30"/>
      <c r="AH172" s="29"/>
      <c r="AI172" s="36" t="str">
        <f aca="true">IF(OR(C172="",AH172="Closed",AH172="Void – logged in error",AG172=""),"",IF(AG172&lt;TODAY(),"OVERDUE",IF(AG172-TODAY()&lt;='Start here'!$C$8,"Due soon","On track")))</f>
        <v/>
      </c>
      <c r="AJ172" s="29"/>
      <c r="AK172" s="29"/>
      <c r="AL172" s="30"/>
      <c r="AM172" s="37" t="str">
        <f aca="false">IF(AND(C172&lt;&gt;"",AH172&lt;&gt;"Closed",AH172&lt;&gt;"Void – logged in error",OR(AH172&lt;&gt;"",AD172&lt;&gt;"",AE172&lt;&gt;"",AF172&lt;&gt;"",AG172&lt;&gt;"")),ROW(),"")</f>
        <v/>
      </c>
    </row>
    <row r="173" customFormat="false" ht="30" hidden="false" customHeight="true" outlineLevel="0" collapsed="false">
      <c r="A173" s="28" t="str">
        <f aca="false">IF(C173="","","INC-"&amp;YEAR(C173)&amp;"-"&amp;TEXT(COUNTIFS($C$6:C173,"&gt;="&amp;DATE(YEAR(C173),1,1),$C$6:C173,"&lt;="&amp;DATE(YEAR(C173),12,31)),"000"))</f>
        <v/>
      </c>
      <c r="B173" s="29"/>
      <c r="C173" s="30"/>
      <c r="D173" s="31"/>
      <c r="E173" s="30"/>
      <c r="F173" s="29"/>
      <c r="G173" s="29"/>
      <c r="H173" s="29"/>
      <c r="I173" s="29"/>
      <c r="J173" s="29"/>
      <c r="K173" s="29"/>
      <c r="L173" s="29"/>
      <c r="M173" s="29"/>
      <c r="N173" s="29"/>
      <c r="O173" s="29"/>
      <c r="P173" s="29"/>
      <c r="Q173" s="32"/>
      <c r="R173" s="29"/>
      <c r="S173" s="29"/>
      <c r="T173" s="33" t="str">
        <f aca="false">IF(AH173="Void – logged in error","",IF(OR(C173="",S173=""),IF(C173="","","Decide"),IF(OR(S173="Not reportable",S173="Over-3-day injury (record only)"),"No","Yes")))</f>
        <v/>
      </c>
      <c r="U173" s="34" t="str">
        <f aca="false">IF(OR(C173="",S173=""),"",IF(S173="Over-7-day injury",C173+15,IF(OR(S173="Death",S173="Specified injury",S173="Member of public to hospital",S173="Dangerous occurrence"),C173+10,"")))</f>
        <v/>
      </c>
      <c r="V173" s="28" t="str">
        <f aca="true">IF(C173="","",IF(AH173="Void – logged in error","Void",IF(W173&lt;&gt;"","Done – reported",IF(S173="Occupational disease","REPORT NOW – on diagnosis",IF(ISNUMBER(U173),IF(U173&lt;TODAY(),"OVERDUE – report now",IF(U173=TODAY(),"DUE TODAY",IF(U173-TODAY()&lt;='Start here'!$C$7,"DUE in "&amp;(U173-TODAY())&amp;" days",IF(OR(S173="Death",S173="Specified injury",S173="Member of public to hospital",S173="Dangerous occurrence"),"REPORT without delay","Report by date shown")))),IF(AND(N(Q173)&gt;7,OR(S173="",S173="Not reportable",S173="Over-3-day injury (record only)")),"CHECK – over 7 days off",IF(S173="","Decide RIDDOR",IF(S173="Over-3-day injury (record only)","Record only","Not reportable"))))))))</f>
        <v/>
      </c>
      <c r="W173" s="30"/>
      <c r="X173" s="29"/>
      <c r="Y173" s="32"/>
      <c r="Z173" s="29"/>
      <c r="AA173" s="35"/>
      <c r="AB173" s="29"/>
      <c r="AC173" s="29"/>
      <c r="AD173" s="29"/>
      <c r="AE173" s="29"/>
      <c r="AF173" s="29"/>
      <c r="AG173" s="30"/>
      <c r="AH173" s="29"/>
      <c r="AI173" s="36" t="str">
        <f aca="true">IF(OR(C173="",AH173="Closed",AH173="Void – logged in error",AG173=""),"",IF(AG173&lt;TODAY(),"OVERDUE",IF(AG173-TODAY()&lt;='Start here'!$C$8,"Due soon","On track")))</f>
        <v/>
      </c>
      <c r="AJ173" s="29"/>
      <c r="AK173" s="29"/>
      <c r="AL173" s="30"/>
      <c r="AM173" s="37" t="str">
        <f aca="false">IF(AND(C173&lt;&gt;"",AH173&lt;&gt;"Closed",AH173&lt;&gt;"Void – logged in error",OR(AH173&lt;&gt;"",AD173&lt;&gt;"",AE173&lt;&gt;"",AF173&lt;&gt;"",AG173&lt;&gt;"")),ROW(),"")</f>
        <v/>
      </c>
    </row>
    <row r="174" customFormat="false" ht="30" hidden="false" customHeight="true" outlineLevel="0" collapsed="false">
      <c r="A174" s="28" t="str">
        <f aca="false">IF(C174="","","INC-"&amp;YEAR(C174)&amp;"-"&amp;TEXT(COUNTIFS($C$6:C174,"&gt;="&amp;DATE(YEAR(C174),1,1),$C$6:C174,"&lt;="&amp;DATE(YEAR(C174),12,31)),"000"))</f>
        <v/>
      </c>
      <c r="B174" s="29"/>
      <c r="C174" s="30"/>
      <c r="D174" s="31"/>
      <c r="E174" s="30"/>
      <c r="F174" s="29"/>
      <c r="G174" s="29"/>
      <c r="H174" s="29"/>
      <c r="I174" s="29"/>
      <c r="J174" s="29"/>
      <c r="K174" s="29"/>
      <c r="L174" s="29"/>
      <c r="M174" s="29"/>
      <c r="N174" s="29"/>
      <c r="O174" s="29"/>
      <c r="P174" s="29"/>
      <c r="Q174" s="32"/>
      <c r="R174" s="29"/>
      <c r="S174" s="29"/>
      <c r="T174" s="33" t="str">
        <f aca="false">IF(AH174="Void – logged in error","",IF(OR(C174="",S174=""),IF(C174="","","Decide"),IF(OR(S174="Not reportable",S174="Over-3-day injury (record only)"),"No","Yes")))</f>
        <v/>
      </c>
      <c r="U174" s="34" t="str">
        <f aca="false">IF(OR(C174="",S174=""),"",IF(S174="Over-7-day injury",C174+15,IF(OR(S174="Death",S174="Specified injury",S174="Member of public to hospital",S174="Dangerous occurrence"),C174+10,"")))</f>
        <v/>
      </c>
      <c r="V174" s="28" t="str">
        <f aca="true">IF(C174="","",IF(AH174="Void – logged in error","Void",IF(W174&lt;&gt;"","Done – reported",IF(S174="Occupational disease","REPORT NOW – on diagnosis",IF(ISNUMBER(U174),IF(U174&lt;TODAY(),"OVERDUE – report now",IF(U174=TODAY(),"DUE TODAY",IF(U174-TODAY()&lt;='Start here'!$C$7,"DUE in "&amp;(U174-TODAY())&amp;" days",IF(OR(S174="Death",S174="Specified injury",S174="Member of public to hospital",S174="Dangerous occurrence"),"REPORT without delay","Report by date shown")))),IF(AND(N(Q174)&gt;7,OR(S174="",S174="Not reportable",S174="Over-3-day injury (record only)")),"CHECK – over 7 days off",IF(S174="","Decide RIDDOR",IF(S174="Over-3-day injury (record only)","Record only","Not reportable"))))))))</f>
        <v/>
      </c>
      <c r="W174" s="30"/>
      <c r="X174" s="29"/>
      <c r="Y174" s="32"/>
      <c r="Z174" s="29"/>
      <c r="AA174" s="35"/>
      <c r="AB174" s="29"/>
      <c r="AC174" s="29"/>
      <c r="AD174" s="29"/>
      <c r="AE174" s="29"/>
      <c r="AF174" s="29"/>
      <c r="AG174" s="30"/>
      <c r="AH174" s="29"/>
      <c r="AI174" s="36" t="str">
        <f aca="true">IF(OR(C174="",AH174="Closed",AH174="Void – logged in error",AG174=""),"",IF(AG174&lt;TODAY(),"OVERDUE",IF(AG174-TODAY()&lt;='Start here'!$C$8,"Due soon","On track")))</f>
        <v/>
      </c>
      <c r="AJ174" s="29"/>
      <c r="AK174" s="29"/>
      <c r="AL174" s="30"/>
      <c r="AM174" s="37" t="str">
        <f aca="false">IF(AND(C174&lt;&gt;"",AH174&lt;&gt;"Closed",AH174&lt;&gt;"Void – logged in error",OR(AH174&lt;&gt;"",AD174&lt;&gt;"",AE174&lt;&gt;"",AF174&lt;&gt;"",AG174&lt;&gt;"")),ROW(),"")</f>
        <v/>
      </c>
    </row>
    <row r="175" customFormat="false" ht="30" hidden="false" customHeight="true" outlineLevel="0" collapsed="false">
      <c r="A175" s="28" t="str">
        <f aca="false">IF(C175="","","INC-"&amp;YEAR(C175)&amp;"-"&amp;TEXT(COUNTIFS($C$6:C175,"&gt;="&amp;DATE(YEAR(C175),1,1),$C$6:C175,"&lt;="&amp;DATE(YEAR(C175),12,31)),"000"))</f>
        <v/>
      </c>
      <c r="B175" s="29"/>
      <c r="C175" s="30"/>
      <c r="D175" s="31"/>
      <c r="E175" s="30"/>
      <c r="F175" s="29"/>
      <c r="G175" s="29"/>
      <c r="H175" s="29"/>
      <c r="I175" s="29"/>
      <c r="J175" s="29"/>
      <c r="K175" s="29"/>
      <c r="L175" s="29"/>
      <c r="M175" s="29"/>
      <c r="N175" s="29"/>
      <c r="O175" s="29"/>
      <c r="P175" s="29"/>
      <c r="Q175" s="32"/>
      <c r="R175" s="29"/>
      <c r="S175" s="29"/>
      <c r="T175" s="33" t="str">
        <f aca="false">IF(AH175="Void – logged in error","",IF(OR(C175="",S175=""),IF(C175="","","Decide"),IF(OR(S175="Not reportable",S175="Over-3-day injury (record only)"),"No","Yes")))</f>
        <v/>
      </c>
      <c r="U175" s="34" t="str">
        <f aca="false">IF(OR(C175="",S175=""),"",IF(S175="Over-7-day injury",C175+15,IF(OR(S175="Death",S175="Specified injury",S175="Member of public to hospital",S175="Dangerous occurrence"),C175+10,"")))</f>
        <v/>
      </c>
      <c r="V175" s="28" t="str">
        <f aca="true">IF(C175="","",IF(AH175="Void – logged in error","Void",IF(W175&lt;&gt;"","Done – reported",IF(S175="Occupational disease","REPORT NOW – on diagnosis",IF(ISNUMBER(U175),IF(U175&lt;TODAY(),"OVERDUE – report now",IF(U175=TODAY(),"DUE TODAY",IF(U175-TODAY()&lt;='Start here'!$C$7,"DUE in "&amp;(U175-TODAY())&amp;" days",IF(OR(S175="Death",S175="Specified injury",S175="Member of public to hospital",S175="Dangerous occurrence"),"REPORT without delay","Report by date shown")))),IF(AND(N(Q175)&gt;7,OR(S175="",S175="Not reportable",S175="Over-3-day injury (record only)")),"CHECK – over 7 days off",IF(S175="","Decide RIDDOR",IF(S175="Over-3-day injury (record only)","Record only","Not reportable"))))))))</f>
        <v/>
      </c>
      <c r="W175" s="30"/>
      <c r="X175" s="29"/>
      <c r="Y175" s="32"/>
      <c r="Z175" s="29"/>
      <c r="AA175" s="35"/>
      <c r="AB175" s="29"/>
      <c r="AC175" s="29"/>
      <c r="AD175" s="29"/>
      <c r="AE175" s="29"/>
      <c r="AF175" s="29"/>
      <c r="AG175" s="30"/>
      <c r="AH175" s="29"/>
      <c r="AI175" s="36" t="str">
        <f aca="true">IF(OR(C175="",AH175="Closed",AH175="Void – logged in error",AG175=""),"",IF(AG175&lt;TODAY(),"OVERDUE",IF(AG175-TODAY()&lt;='Start here'!$C$8,"Due soon","On track")))</f>
        <v/>
      </c>
      <c r="AJ175" s="29"/>
      <c r="AK175" s="29"/>
      <c r="AL175" s="30"/>
      <c r="AM175" s="37" t="str">
        <f aca="false">IF(AND(C175&lt;&gt;"",AH175&lt;&gt;"Closed",AH175&lt;&gt;"Void – logged in error",OR(AH175&lt;&gt;"",AD175&lt;&gt;"",AE175&lt;&gt;"",AF175&lt;&gt;"",AG175&lt;&gt;"")),ROW(),"")</f>
        <v/>
      </c>
    </row>
    <row r="176" customFormat="false" ht="30" hidden="false" customHeight="true" outlineLevel="0" collapsed="false">
      <c r="A176" s="28" t="str">
        <f aca="false">IF(C176="","","INC-"&amp;YEAR(C176)&amp;"-"&amp;TEXT(COUNTIFS($C$6:C176,"&gt;="&amp;DATE(YEAR(C176),1,1),$C$6:C176,"&lt;="&amp;DATE(YEAR(C176),12,31)),"000"))</f>
        <v/>
      </c>
      <c r="B176" s="29"/>
      <c r="C176" s="30"/>
      <c r="D176" s="31"/>
      <c r="E176" s="30"/>
      <c r="F176" s="29"/>
      <c r="G176" s="29"/>
      <c r="H176" s="29"/>
      <c r="I176" s="29"/>
      <c r="J176" s="29"/>
      <c r="K176" s="29"/>
      <c r="L176" s="29"/>
      <c r="M176" s="29"/>
      <c r="N176" s="29"/>
      <c r="O176" s="29"/>
      <c r="P176" s="29"/>
      <c r="Q176" s="32"/>
      <c r="R176" s="29"/>
      <c r="S176" s="29"/>
      <c r="T176" s="33" t="str">
        <f aca="false">IF(AH176="Void – logged in error","",IF(OR(C176="",S176=""),IF(C176="","","Decide"),IF(OR(S176="Not reportable",S176="Over-3-day injury (record only)"),"No","Yes")))</f>
        <v/>
      </c>
      <c r="U176" s="34" t="str">
        <f aca="false">IF(OR(C176="",S176=""),"",IF(S176="Over-7-day injury",C176+15,IF(OR(S176="Death",S176="Specified injury",S176="Member of public to hospital",S176="Dangerous occurrence"),C176+10,"")))</f>
        <v/>
      </c>
      <c r="V176" s="28" t="str">
        <f aca="true">IF(C176="","",IF(AH176="Void – logged in error","Void",IF(W176&lt;&gt;"","Done – reported",IF(S176="Occupational disease","REPORT NOW – on diagnosis",IF(ISNUMBER(U176),IF(U176&lt;TODAY(),"OVERDUE – report now",IF(U176=TODAY(),"DUE TODAY",IF(U176-TODAY()&lt;='Start here'!$C$7,"DUE in "&amp;(U176-TODAY())&amp;" days",IF(OR(S176="Death",S176="Specified injury",S176="Member of public to hospital",S176="Dangerous occurrence"),"REPORT without delay","Report by date shown")))),IF(AND(N(Q176)&gt;7,OR(S176="",S176="Not reportable",S176="Over-3-day injury (record only)")),"CHECK – over 7 days off",IF(S176="","Decide RIDDOR",IF(S176="Over-3-day injury (record only)","Record only","Not reportable"))))))))</f>
        <v/>
      </c>
      <c r="W176" s="30"/>
      <c r="X176" s="29"/>
      <c r="Y176" s="32"/>
      <c r="Z176" s="29"/>
      <c r="AA176" s="35"/>
      <c r="AB176" s="29"/>
      <c r="AC176" s="29"/>
      <c r="AD176" s="29"/>
      <c r="AE176" s="29"/>
      <c r="AF176" s="29"/>
      <c r="AG176" s="30"/>
      <c r="AH176" s="29"/>
      <c r="AI176" s="36" t="str">
        <f aca="true">IF(OR(C176="",AH176="Closed",AH176="Void – logged in error",AG176=""),"",IF(AG176&lt;TODAY(),"OVERDUE",IF(AG176-TODAY()&lt;='Start here'!$C$8,"Due soon","On track")))</f>
        <v/>
      </c>
      <c r="AJ176" s="29"/>
      <c r="AK176" s="29"/>
      <c r="AL176" s="30"/>
      <c r="AM176" s="37" t="str">
        <f aca="false">IF(AND(C176&lt;&gt;"",AH176&lt;&gt;"Closed",AH176&lt;&gt;"Void – logged in error",OR(AH176&lt;&gt;"",AD176&lt;&gt;"",AE176&lt;&gt;"",AF176&lt;&gt;"",AG176&lt;&gt;"")),ROW(),"")</f>
        <v/>
      </c>
    </row>
    <row r="177" customFormat="false" ht="30" hidden="false" customHeight="true" outlineLevel="0" collapsed="false">
      <c r="A177" s="28" t="str">
        <f aca="false">IF(C177="","","INC-"&amp;YEAR(C177)&amp;"-"&amp;TEXT(COUNTIFS($C$6:C177,"&gt;="&amp;DATE(YEAR(C177),1,1),$C$6:C177,"&lt;="&amp;DATE(YEAR(C177),12,31)),"000"))</f>
        <v/>
      </c>
      <c r="B177" s="29"/>
      <c r="C177" s="30"/>
      <c r="D177" s="31"/>
      <c r="E177" s="30"/>
      <c r="F177" s="29"/>
      <c r="G177" s="29"/>
      <c r="H177" s="29"/>
      <c r="I177" s="29"/>
      <c r="J177" s="29"/>
      <c r="K177" s="29"/>
      <c r="L177" s="29"/>
      <c r="M177" s="29"/>
      <c r="N177" s="29"/>
      <c r="O177" s="29"/>
      <c r="P177" s="29"/>
      <c r="Q177" s="32"/>
      <c r="R177" s="29"/>
      <c r="S177" s="29"/>
      <c r="T177" s="33" t="str">
        <f aca="false">IF(AH177="Void – logged in error","",IF(OR(C177="",S177=""),IF(C177="","","Decide"),IF(OR(S177="Not reportable",S177="Over-3-day injury (record only)"),"No","Yes")))</f>
        <v/>
      </c>
      <c r="U177" s="34" t="str">
        <f aca="false">IF(OR(C177="",S177=""),"",IF(S177="Over-7-day injury",C177+15,IF(OR(S177="Death",S177="Specified injury",S177="Member of public to hospital",S177="Dangerous occurrence"),C177+10,"")))</f>
        <v/>
      </c>
      <c r="V177" s="28" t="str">
        <f aca="true">IF(C177="","",IF(AH177="Void – logged in error","Void",IF(W177&lt;&gt;"","Done – reported",IF(S177="Occupational disease","REPORT NOW – on diagnosis",IF(ISNUMBER(U177),IF(U177&lt;TODAY(),"OVERDUE – report now",IF(U177=TODAY(),"DUE TODAY",IF(U177-TODAY()&lt;='Start here'!$C$7,"DUE in "&amp;(U177-TODAY())&amp;" days",IF(OR(S177="Death",S177="Specified injury",S177="Member of public to hospital",S177="Dangerous occurrence"),"REPORT without delay","Report by date shown")))),IF(AND(N(Q177)&gt;7,OR(S177="",S177="Not reportable",S177="Over-3-day injury (record only)")),"CHECK – over 7 days off",IF(S177="","Decide RIDDOR",IF(S177="Over-3-day injury (record only)","Record only","Not reportable"))))))))</f>
        <v/>
      </c>
      <c r="W177" s="30"/>
      <c r="X177" s="29"/>
      <c r="Y177" s="32"/>
      <c r="Z177" s="29"/>
      <c r="AA177" s="35"/>
      <c r="AB177" s="29"/>
      <c r="AC177" s="29"/>
      <c r="AD177" s="29"/>
      <c r="AE177" s="29"/>
      <c r="AF177" s="29"/>
      <c r="AG177" s="30"/>
      <c r="AH177" s="29"/>
      <c r="AI177" s="36" t="str">
        <f aca="true">IF(OR(C177="",AH177="Closed",AH177="Void – logged in error",AG177=""),"",IF(AG177&lt;TODAY(),"OVERDUE",IF(AG177-TODAY()&lt;='Start here'!$C$8,"Due soon","On track")))</f>
        <v/>
      </c>
      <c r="AJ177" s="29"/>
      <c r="AK177" s="29"/>
      <c r="AL177" s="30"/>
      <c r="AM177" s="37" t="str">
        <f aca="false">IF(AND(C177&lt;&gt;"",AH177&lt;&gt;"Closed",AH177&lt;&gt;"Void – logged in error",OR(AH177&lt;&gt;"",AD177&lt;&gt;"",AE177&lt;&gt;"",AF177&lt;&gt;"",AG177&lt;&gt;"")),ROW(),"")</f>
        <v/>
      </c>
    </row>
    <row r="178" customFormat="false" ht="30" hidden="false" customHeight="true" outlineLevel="0" collapsed="false">
      <c r="A178" s="28" t="str">
        <f aca="false">IF(C178="","","INC-"&amp;YEAR(C178)&amp;"-"&amp;TEXT(COUNTIFS($C$6:C178,"&gt;="&amp;DATE(YEAR(C178),1,1),$C$6:C178,"&lt;="&amp;DATE(YEAR(C178),12,31)),"000"))</f>
        <v/>
      </c>
      <c r="B178" s="29"/>
      <c r="C178" s="30"/>
      <c r="D178" s="31"/>
      <c r="E178" s="30"/>
      <c r="F178" s="29"/>
      <c r="G178" s="29"/>
      <c r="H178" s="29"/>
      <c r="I178" s="29"/>
      <c r="J178" s="29"/>
      <c r="K178" s="29"/>
      <c r="L178" s="29"/>
      <c r="M178" s="29"/>
      <c r="N178" s="29"/>
      <c r="O178" s="29"/>
      <c r="P178" s="29"/>
      <c r="Q178" s="32"/>
      <c r="R178" s="29"/>
      <c r="S178" s="29"/>
      <c r="T178" s="33" t="str">
        <f aca="false">IF(AH178="Void – logged in error","",IF(OR(C178="",S178=""),IF(C178="","","Decide"),IF(OR(S178="Not reportable",S178="Over-3-day injury (record only)"),"No","Yes")))</f>
        <v/>
      </c>
      <c r="U178" s="34" t="str">
        <f aca="false">IF(OR(C178="",S178=""),"",IF(S178="Over-7-day injury",C178+15,IF(OR(S178="Death",S178="Specified injury",S178="Member of public to hospital",S178="Dangerous occurrence"),C178+10,"")))</f>
        <v/>
      </c>
      <c r="V178" s="28" t="str">
        <f aca="true">IF(C178="","",IF(AH178="Void – logged in error","Void",IF(W178&lt;&gt;"","Done – reported",IF(S178="Occupational disease","REPORT NOW – on diagnosis",IF(ISNUMBER(U178),IF(U178&lt;TODAY(),"OVERDUE – report now",IF(U178=TODAY(),"DUE TODAY",IF(U178-TODAY()&lt;='Start here'!$C$7,"DUE in "&amp;(U178-TODAY())&amp;" days",IF(OR(S178="Death",S178="Specified injury",S178="Member of public to hospital",S178="Dangerous occurrence"),"REPORT without delay","Report by date shown")))),IF(AND(N(Q178)&gt;7,OR(S178="",S178="Not reportable",S178="Over-3-day injury (record only)")),"CHECK – over 7 days off",IF(S178="","Decide RIDDOR",IF(S178="Over-3-day injury (record only)","Record only","Not reportable"))))))))</f>
        <v/>
      </c>
      <c r="W178" s="30"/>
      <c r="X178" s="29"/>
      <c r="Y178" s="32"/>
      <c r="Z178" s="29"/>
      <c r="AA178" s="35"/>
      <c r="AB178" s="29"/>
      <c r="AC178" s="29"/>
      <c r="AD178" s="29"/>
      <c r="AE178" s="29"/>
      <c r="AF178" s="29"/>
      <c r="AG178" s="30"/>
      <c r="AH178" s="29"/>
      <c r="AI178" s="36" t="str">
        <f aca="true">IF(OR(C178="",AH178="Closed",AH178="Void – logged in error",AG178=""),"",IF(AG178&lt;TODAY(),"OVERDUE",IF(AG178-TODAY()&lt;='Start here'!$C$8,"Due soon","On track")))</f>
        <v/>
      </c>
      <c r="AJ178" s="29"/>
      <c r="AK178" s="29"/>
      <c r="AL178" s="30"/>
      <c r="AM178" s="37" t="str">
        <f aca="false">IF(AND(C178&lt;&gt;"",AH178&lt;&gt;"Closed",AH178&lt;&gt;"Void – logged in error",OR(AH178&lt;&gt;"",AD178&lt;&gt;"",AE178&lt;&gt;"",AF178&lt;&gt;"",AG178&lt;&gt;"")),ROW(),"")</f>
        <v/>
      </c>
    </row>
    <row r="179" customFormat="false" ht="30" hidden="false" customHeight="true" outlineLevel="0" collapsed="false">
      <c r="A179" s="28" t="str">
        <f aca="false">IF(C179="","","INC-"&amp;YEAR(C179)&amp;"-"&amp;TEXT(COUNTIFS($C$6:C179,"&gt;="&amp;DATE(YEAR(C179),1,1),$C$6:C179,"&lt;="&amp;DATE(YEAR(C179),12,31)),"000"))</f>
        <v/>
      </c>
      <c r="B179" s="29"/>
      <c r="C179" s="30"/>
      <c r="D179" s="31"/>
      <c r="E179" s="30"/>
      <c r="F179" s="29"/>
      <c r="G179" s="29"/>
      <c r="H179" s="29"/>
      <c r="I179" s="29"/>
      <c r="J179" s="29"/>
      <c r="K179" s="29"/>
      <c r="L179" s="29"/>
      <c r="M179" s="29"/>
      <c r="N179" s="29"/>
      <c r="O179" s="29"/>
      <c r="P179" s="29"/>
      <c r="Q179" s="32"/>
      <c r="R179" s="29"/>
      <c r="S179" s="29"/>
      <c r="T179" s="33" t="str">
        <f aca="false">IF(AH179="Void – logged in error","",IF(OR(C179="",S179=""),IF(C179="","","Decide"),IF(OR(S179="Not reportable",S179="Over-3-day injury (record only)"),"No","Yes")))</f>
        <v/>
      </c>
      <c r="U179" s="34" t="str">
        <f aca="false">IF(OR(C179="",S179=""),"",IF(S179="Over-7-day injury",C179+15,IF(OR(S179="Death",S179="Specified injury",S179="Member of public to hospital",S179="Dangerous occurrence"),C179+10,"")))</f>
        <v/>
      </c>
      <c r="V179" s="28" t="str">
        <f aca="true">IF(C179="","",IF(AH179="Void – logged in error","Void",IF(W179&lt;&gt;"","Done – reported",IF(S179="Occupational disease","REPORT NOW – on diagnosis",IF(ISNUMBER(U179),IF(U179&lt;TODAY(),"OVERDUE – report now",IF(U179=TODAY(),"DUE TODAY",IF(U179-TODAY()&lt;='Start here'!$C$7,"DUE in "&amp;(U179-TODAY())&amp;" days",IF(OR(S179="Death",S179="Specified injury",S179="Member of public to hospital",S179="Dangerous occurrence"),"REPORT without delay","Report by date shown")))),IF(AND(N(Q179)&gt;7,OR(S179="",S179="Not reportable",S179="Over-3-day injury (record only)")),"CHECK – over 7 days off",IF(S179="","Decide RIDDOR",IF(S179="Over-3-day injury (record only)","Record only","Not reportable"))))))))</f>
        <v/>
      </c>
      <c r="W179" s="30"/>
      <c r="X179" s="29"/>
      <c r="Y179" s="32"/>
      <c r="Z179" s="29"/>
      <c r="AA179" s="35"/>
      <c r="AB179" s="29"/>
      <c r="AC179" s="29"/>
      <c r="AD179" s="29"/>
      <c r="AE179" s="29"/>
      <c r="AF179" s="29"/>
      <c r="AG179" s="30"/>
      <c r="AH179" s="29"/>
      <c r="AI179" s="36" t="str">
        <f aca="true">IF(OR(C179="",AH179="Closed",AH179="Void – logged in error",AG179=""),"",IF(AG179&lt;TODAY(),"OVERDUE",IF(AG179-TODAY()&lt;='Start here'!$C$8,"Due soon","On track")))</f>
        <v/>
      </c>
      <c r="AJ179" s="29"/>
      <c r="AK179" s="29"/>
      <c r="AL179" s="30"/>
      <c r="AM179" s="37" t="str">
        <f aca="false">IF(AND(C179&lt;&gt;"",AH179&lt;&gt;"Closed",AH179&lt;&gt;"Void – logged in error",OR(AH179&lt;&gt;"",AD179&lt;&gt;"",AE179&lt;&gt;"",AF179&lt;&gt;"",AG179&lt;&gt;"")),ROW(),"")</f>
        <v/>
      </c>
    </row>
    <row r="180" customFormat="false" ht="30" hidden="false" customHeight="true" outlineLevel="0" collapsed="false">
      <c r="A180" s="28" t="str">
        <f aca="false">IF(C180="","","INC-"&amp;YEAR(C180)&amp;"-"&amp;TEXT(COUNTIFS($C$6:C180,"&gt;="&amp;DATE(YEAR(C180),1,1),$C$6:C180,"&lt;="&amp;DATE(YEAR(C180),12,31)),"000"))</f>
        <v/>
      </c>
      <c r="B180" s="29"/>
      <c r="C180" s="30"/>
      <c r="D180" s="31"/>
      <c r="E180" s="30"/>
      <c r="F180" s="29"/>
      <c r="G180" s="29"/>
      <c r="H180" s="29"/>
      <c r="I180" s="29"/>
      <c r="J180" s="29"/>
      <c r="K180" s="29"/>
      <c r="L180" s="29"/>
      <c r="M180" s="29"/>
      <c r="N180" s="29"/>
      <c r="O180" s="29"/>
      <c r="P180" s="29"/>
      <c r="Q180" s="32"/>
      <c r="R180" s="29"/>
      <c r="S180" s="29"/>
      <c r="T180" s="33" t="str">
        <f aca="false">IF(AH180="Void – logged in error","",IF(OR(C180="",S180=""),IF(C180="","","Decide"),IF(OR(S180="Not reportable",S180="Over-3-day injury (record only)"),"No","Yes")))</f>
        <v/>
      </c>
      <c r="U180" s="34" t="str">
        <f aca="false">IF(OR(C180="",S180=""),"",IF(S180="Over-7-day injury",C180+15,IF(OR(S180="Death",S180="Specified injury",S180="Member of public to hospital",S180="Dangerous occurrence"),C180+10,"")))</f>
        <v/>
      </c>
      <c r="V180" s="28" t="str">
        <f aca="true">IF(C180="","",IF(AH180="Void – logged in error","Void",IF(W180&lt;&gt;"","Done – reported",IF(S180="Occupational disease","REPORT NOW – on diagnosis",IF(ISNUMBER(U180),IF(U180&lt;TODAY(),"OVERDUE – report now",IF(U180=TODAY(),"DUE TODAY",IF(U180-TODAY()&lt;='Start here'!$C$7,"DUE in "&amp;(U180-TODAY())&amp;" days",IF(OR(S180="Death",S180="Specified injury",S180="Member of public to hospital",S180="Dangerous occurrence"),"REPORT without delay","Report by date shown")))),IF(AND(N(Q180)&gt;7,OR(S180="",S180="Not reportable",S180="Over-3-day injury (record only)")),"CHECK – over 7 days off",IF(S180="","Decide RIDDOR",IF(S180="Over-3-day injury (record only)","Record only","Not reportable"))))))))</f>
        <v/>
      </c>
      <c r="W180" s="30"/>
      <c r="X180" s="29"/>
      <c r="Y180" s="32"/>
      <c r="Z180" s="29"/>
      <c r="AA180" s="35"/>
      <c r="AB180" s="29"/>
      <c r="AC180" s="29"/>
      <c r="AD180" s="29"/>
      <c r="AE180" s="29"/>
      <c r="AF180" s="29"/>
      <c r="AG180" s="30"/>
      <c r="AH180" s="29"/>
      <c r="AI180" s="36" t="str">
        <f aca="true">IF(OR(C180="",AH180="Closed",AH180="Void – logged in error",AG180=""),"",IF(AG180&lt;TODAY(),"OVERDUE",IF(AG180-TODAY()&lt;='Start here'!$C$8,"Due soon","On track")))</f>
        <v/>
      </c>
      <c r="AJ180" s="29"/>
      <c r="AK180" s="29"/>
      <c r="AL180" s="30"/>
      <c r="AM180" s="37" t="str">
        <f aca="false">IF(AND(C180&lt;&gt;"",AH180&lt;&gt;"Closed",AH180&lt;&gt;"Void – logged in error",OR(AH180&lt;&gt;"",AD180&lt;&gt;"",AE180&lt;&gt;"",AF180&lt;&gt;"",AG180&lt;&gt;"")),ROW(),"")</f>
        <v/>
      </c>
    </row>
    <row r="181" customFormat="false" ht="30" hidden="false" customHeight="true" outlineLevel="0" collapsed="false">
      <c r="A181" s="28" t="str">
        <f aca="false">IF(C181="","","INC-"&amp;YEAR(C181)&amp;"-"&amp;TEXT(COUNTIFS($C$6:C181,"&gt;="&amp;DATE(YEAR(C181),1,1),$C$6:C181,"&lt;="&amp;DATE(YEAR(C181),12,31)),"000"))</f>
        <v/>
      </c>
      <c r="B181" s="29"/>
      <c r="C181" s="30"/>
      <c r="D181" s="31"/>
      <c r="E181" s="30"/>
      <c r="F181" s="29"/>
      <c r="G181" s="29"/>
      <c r="H181" s="29"/>
      <c r="I181" s="29"/>
      <c r="J181" s="29"/>
      <c r="K181" s="29"/>
      <c r="L181" s="29"/>
      <c r="M181" s="29"/>
      <c r="N181" s="29"/>
      <c r="O181" s="29"/>
      <c r="P181" s="29"/>
      <c r="Q181" s="32"/>
      <c r="R181" s="29"/>
      <c r="S181" s="29"/>
      <c r="T181" s="33" t="str">
        <f aca="false">IF(AH181="Void – logged in error","",IF(OR(C181="",S181=""),IF(C181="","","Decide"),IF(OR(S181="Not reportable",S181="Over-3-day injury (record only)"),"No","Yes")))</f>
        <v/>
      </c>
      <c r="U181" s="34" t="str">
        <f aca="false">IF(OR(C181="",S181=""),"",IF(S181="Over-7-day injury",C181+15,IF(OR(S181="Death",S181="Specified injury",S181="Member of public to hospital",S181="Dangerous occurrence"),C181+10,"")))</f>
        <v/>
      </c>
      <c r="V181" s="28" t="str">
        <f aca="true">IF(C181="","",IF(AH181="Void – logged in error","Void",IF(W181&lt;&gt;"","Done – reported",IF(S181="Occupational disease","REPORT NOW – on diagnosis",IF(ISNUMBER(U181),IF(U181&lt;TODAY(),"OVERDUE – report now",IF(U181=TODAY(),"DUE TODAY",IF(U181-TODAY()&lt;='Start here'!$C$7,"DUE in "&amp;(U181-TODAY())&amp;" days",IF(OR(S181="Death",S181="Specified injury",S181="Member of public to hospital",S181="Dangerous occurrence"),"REPORT without delay","Report by date shown")))),IF(AND(N(Q181)&gt;7,OR(S181="",S181="Not reportable",S181="Over-3-day injury (record only)")),"CHECK – over 7 days off",IF(S181="","Decide RIDDOR",IF(S181="Over-3-day injury (record only)","Record only","Not reportable"))))))))</f>
        <v/>
      </c>
      <c r="W181" s="30"/>
      <c r="X181" s="29"/>
      <c r="Y181" s="32"/>
      <c r="Z181" s="29"/>
      <c r="AA181" s="35"/>
      <c r="AB181" s="29"/>
      <c r="AC181" s="29"/>
      <c r="AD181" s="29"/>
      <c r="AE181" s="29"/>
      <c r="AF181" s="29"/>
      <c r="AG181" s="30"/>
      <c r="AH181" s="29"/>
      <c r="AI181" s="36" t="str">
        <f aca="true">IF(OR(C181="",AH181="Closed",AH181="Void – logged in error",AG181=""),"",IF(AG181&lt;TODAY(),"OVERDUE",IF(AG181-TODAY()&lt;='Start here'!$C$8,"Due soon","On track")))</f>
        <v/>
      </c>
      <c r="AJ181" s="29"/>
      <c r="AK181" s="29"/>
      <c r="AL181" s="30"/>
      <c r="AM181" s="37" t="str">
        <f aca="false">IF(AND(C181&lt;&gt;"",AH181&lt;&gt;"Closed",AH181&lt;&gt;"Void – logged in error",OR(AH181&lt;&gt;"",AD181&lt;&gt;"",AE181&lt;&gt;"",AF181&lt;&gt;"",AG181&lt;&gt;"")),ROW(),"")</f>
        <v/>
      </c>
    </row>
    <row r="182" customFormat="false" ht="30" hidden="false" customHeight="true" outlineLevel="0" collapsed="false">
      <c r="A182" s="28" t="str">
        <f aca="false">IF(C182="","","INC-"&amp;YEAR(C182)&amp;"-"&amp;TEXT(COUNTIFS($C$6:C182,"&gt;="&amp;DATE(YEAR(C182),1,1),$C$6:C182,"&lt;="&amp;DATE(YEAR(C182),12,31)),"000"))</f>
        <v/>
      </c>
      <c r="B182" s="29"/>
      <c r="C182" s="30"/>
      <c r="D182" s="31"/>
      <c r="E182" s="30"/>
      <c r="F182" s="29"/>
      <c r="G182" s="29"/>
      <c r="H182" s="29"/>
      <c r="I182" s="29"/>
      <c r="J182" s="29"/>
      <c r="K182" s="29"/>
      <c r="L182" s="29"/>
      <c r="M182" s="29"/>
      <c r="N182" s="29"/>
      <c r="O182" s="29"/>
      <c r="P182" s="29"/>
      <c r="Q182" s="32"/>
      <c r="R182" s="29"/>
      <c r="S182" s="29"/>
      <c r="T182" s="33" t="str">
        <f aca="false">IF(AH182="Void – logged in error","",IF(OR(C182="",S182=""),IF(C182="","","Decide"),IF(OR(S182="Not reportable",S182="Over-3-day injury (record only)"),"No","Yes")))</f>
        <v/>
      </c>
      <c r="U182" s="34" t="str">
        <f aca="false">IF(OR(C182="",S182=""),"",IF(S182="Over-7-day injury",C182+15,IF(OR(S182="Death",S182="Specified injury",S182="Member of public to hospital",S182="Dangerous occurrence"),C182+10,"")))</f>
        <v/>
      </c>
      <c r="V182" s="28" t="str">
        <f aca="true">IF(C182="","",IF(AH182="Void – logged in error","Void",IF(W182&lt;&gt;"","Done – reported",IF(S182="Occupational disease","REPORT NOW – on diagnosis",IF(ISNUMBER(U182),IF(U182&lt;TODAY(),"OVERDUE – report now",IF(U182=TODAY(),"DUE TODAY",IF(U182-TODAY()&lt;='Start here'!$C$7,"DUE in "&amp;(U182-TODAY())&amp;" days",IF(OR(S182="Death",S182="Specified injury",S182="Member of public to hospital",S182="Dangerous occurrence"),"REPORT without delay","Report by date shown")))),IF(AND(N(Q182)&gt;7,OR(S182="",S182="Not reportable",S182="Over-3-day injury (record only)")),"CHECK – over 7 days off",IF(S182="","Decide RIDDOR",IF(S182="Over-3-day injury (record only)","Record only","Not reportable"))))))))</f>
        <v/>
      </c>
      <c r="W182" s="30"/>
      <c r="X182" s="29"/>
      <c r="Y182" s="32"/>
      <c r="Z182" s="29"/>
      <c r="AA182" s="35"/>
      <c r="AB182" s="29"/>
      <c r="AC182" s="29"/>
      <c r="AD182" s="29"/>
      <c r="AE182" s="29"/>
      <c r="AF182" s="29"/>
      <c r="AG182" s="30"/>
      <c r="AH182" s="29"/>
      <c r="AI182" s="36" t="str">
        <f aca="true">IF(OR(C182="",AH182="Closed",AH182="Void – logged in error",AG182=""),"",IF(AG182&lt;TODAY(),"OVERDUE",IF(AG182-TODAY()&lt;='Start here'!$C$8,"Due soon","On track")))</f>
        <v/>
      </c>
      <c r="AJ182" s="29"/>
      <c r="AK182" s="29"/>
      <c r="AL182" s="30"/>
      <c r="AM182" s="37" t="str">
        <f aca="false">IF(AND(C182&lt;&gt;"",AH182&lt;&gt;"Closed",AH182&lt;&gt;"Void – logged in error",OR(AH182&lt;&gt;"",AD182&lt;&gt;"",AE182&lt;&gt;"",AF182&lt;&gt;"",AG182&lt;&gt;"")),ROW(),"")</f>
        <v/>
      </c>
    </row>
    <row r="183" customFormat="false" ht="30" hidden="false" customHeight="true" outlineLevel="0" collapsed="false">
      <c r="A183" s="28" t="str">
        <f aca="false">IF(C183="","","INC-"&amp;YEAR(C183)&amp;"-"&amp;TEXT(COUNTIFS($C$6:C183,"&gt;="&amp;DATE(YEAR(C183),1,1),$C$6:C183,"&lt;="&amp;DATE(YEAR(C183),12,31)),"000"))</f>
        <v/>
      </c>
      <c r="B183" s="29"/>
      <c r="C183" s="30"/>
      <c r="D183" s="31"/>
      <c r="E183" s="30"/>
      <c r="F183" s="29"/>
      <c r="G183" s="29"/>
      <c r="H183" s="29"/>
      <c r="I183" s="29"/>
      <c r="J183" s="29"/>
      <c r="K183" s="29"/>
      <c r="L183" s="29"/>
      <c r="M183" s="29"/>
      <c r="N183" s="29"/>
      <c r="O183" s="29"/>
      <c r="P183" s="29"/>
      <c r="Q183" s="32"/>
      <c r="R183" s="29"/>
      <c r="S183" s="29"/>
      <c r="T183" s="33" t="str">
        <f aca="false">IF(AH183="Void – logged in error","",IF(OR(C183="",S183=""),IF(C183="","","Decide"),IF(OR(S183="Not reportable",S183="Over-3-day injury (record only)"),"No","Yes")))</f>
        <v/>
      </c>
      <c r="U183" s="34" t="str">
        <f aca="false">IF(OR(C183="",S183=""),"",IF(S183="Over-7-day injury",C183+15,IF(OR(S183="Death",S183="Specified injury",S183="Member of public to hospital",S183="Dangerous occurrence"),C183+10,"")))</f>
        <v/>
      </c>
      <c r="V183" s="28" t="str">
        <f aca="true">IF(C183="","",IF(AH183="Void – logged in error","Void",IF(W183&lt;&gt;"","Done – reported",IF(S183="Occupational disease","REPORT NOW – on diagnosis",IF(ISNUMBER(U183),IF(U183&lt;TODAY(),"OVERDUE – report now",IF(U183=TODAY(),"DUE TODAY",IF(U183-TODAY()&lt;='Start here'!$C$7,"DUE in "&amp;(U183-TODAY())&amp;" days",IF(OR(S183="Death",S183="Specified injury",S183="Member of public to hospital",S183="Dangerous occurrence"),"REPORT without delay","Report by date shown")))),IF(AND(N(Q183)&gt;7,OR(S183="",S183="Not reportable",S183="Over-3-day injury (record only)")),"CHECK – over 7 days off",IF(S183="","Decide RIDDOR",IF(S183="Over-3-day injury (record only)","Record only","Not reportable"))))))))</f>
        <v/>
      </c>
      <c r="W183" s="30"/>
      <c r="X183" s="29"/>
      <c r="Y183" s="32"/>
      <c r="Z183" s="29"/>
      <c r="AA183" s="35"/>
      <c r="AB183" s="29"/>
      <c r="AC183" s="29"/>
      <c r="AD183" s="29"/>
      <c r="AE183" s="29"/>
      <c r="AF183" s="29"/>
      <c r="AG183" s="30"/>
      <c r="AH183" s="29"/>
      <c r="AI183" s="36" t="str">
        <f aca="true">IF(OR(C183="",AH183="Closed",AH183="Void – logged in error",AG183=""),"",IF(AG183&lt;TODAY(),"OVERDUE",IF(AG183-TODAY()&lt;='Start here'!$C$8,"Due soon","On track")))</f>
        <v/>
      </c>
      <c r="AJ183" s="29"/>
      <c r="AK183" s="29"/>
      <c r="AL183" s="30"/>
      <c r="AM183" s="37" t="str">
        <f aca="false">IF(AND(C183&lt;&gt;"",AH183&lt;&gt;"Closed",AH183&lt;&gt;"Void – logged in error",OR(AH183&lt;&gt;"",AD183&lt;&gt;"",AE183&lt;&gt;"",AF183&lt;&gt;"",AG183&lt;&gt;"")),ROW(),"")</f>
        <v/>
      </c>
    </row>
    <row r="184" customFormat="false" ht="30" hidden="false" customHeight="true" outlineLevel="0" collapsed="false">
      <c r="A184" s="28" t="str">
        <f aca="false">IF(C184="","","INC-"&amp;YEAR(C184)&amp;"-"&amp;TEXT(COUNTIFS($C$6:C184,"&gt;="&amp;DATE(YEAR(C184),1,1),$C$6:C184,"&lt;="&amp;DATE(YEAR(C184),12,31)),"000"))</f>
        <v/>
      </c>
      <c r="B184" s="29"/>
      <c r="C184" s="30"/>
      <c r="D184" s="31"/>
      <c r="E184" s="30"/>
      <c r="F184" s="29"/>
      <c r="G184" s="29"/>
      <c r="H184" s="29"/>
      <c r="I184" s="29"/>
      <c r="J184" s="29"/>
      <c r="K184" s="29"/>
      <c r="L184" s="29"/>
      <c r="M184" s="29"/>
      <c r="N184" s="29"/>
      <c r="O184" s="29"/>
      <c r="P184" s="29"/>
      <c r="Q184" s="32"/>
      <c r="R184" s="29"/>
      <c r="S184" s="29"/>
      <c r="T184" s="33" t="str">
        <f aca="false">IF(AH184="Void – logged in error","",IF(OR(C184="",S184=""),IF(C184="","","Decide"),IF(OR(S184="Not reportable",S184="Over-3-day injury (record only)"),"No","Yes")))</f>
        <v/>
      </c>
      <c r="U184" s="34" t="str">
        <f aca="false">IF(OR(C184="",S184=""),"",IF(S184="Over-7-day injury",C184+15,IF(OR(S184="Death",S184="Specified injury",S184="Member of public to hospital",S184="Dangerous occurrence"),C184+10,"")))</f>
        <v/>
      </c>
      <c r="V184" s="28" t="str">
        <f aca="true">IF(C184="","",IF(AH184="Void – logged in error","Void",IF(W184&lt;&gt;"","Done – reported",IF(S184="Occupational disease","REPORT NOW – on diagnosis",IF(ISNUMBER(U184),IF(U184&lt;TODAY(),"OVERDUE – report now",IF(U184=TODAY(),"DUE TODAY",IF(U184-TODAY()&lt;='Start here'!$C$7,"DUE in "&amp;(U184-TODAY())&amp;" days",IF(OR(S184="Death",S184="Specified injury",S184="Member of public to hospital",S184="Dangerous occurrence"),"REPORT without delay","Report by date shown")))),IF(AND(N(Q184)&gt;7,OR(S184="",S184="Not reportable",S184="Over-3-day injury (record only)")),"CHECK – over 7 days off",IF(S184="","Decide RIDDOR",IF(S184="Over-3-day injury (record only)","Record only","Not reportable"))))))))</f>
        <v/>
      </c>
      <c r="W184" s="30"/>
      <c r="X184" s="29"/>
      <c r="Y184" s="32"/>
      <c r="Z184" s="29"/>
      <c r="AA184" s="35"/>
      <c r="AB184" s="29"/>
      <c r="AC184" s="29"/>
      <c r="AD184" s="29"/>
      <c r="AE184" s="29"/>
      <c r="AF184" s="29"/>
      <c r="AG184" s="30"/>
      <c r="AH184" s="29"/>
      <c r="AI184" s="36" t="str">
        <f aca="true">IF(OR(C184="",AH184="Closed",AH184="Void – logged in error",AG184=""),"",IF(AG184&lt;TODAY(),"OVERDUE",IF(AG184-TODAY()&lt;='Start here'!$C$8,"Due soon","On track")))</f>
        <v/>
      </c>
      <c r="AJ184" s="29"/>
      <c r="AK184" s="29"/>
      <c r="AL184" s="30"/>
      <c r="AM184" s="37" t="str">
        <f aca="false">IF(AND(C184&lt;&gt;"",AH184&lt;&gt;"Closed",AH184&lt;&gt;"Void – logged in error",OR(AH184&lt;&gt;"",AD184&lt;&gt;"",AE184&lt;&gt;"",AF184&lt;&gt;"",AG184&lt;&gt;"")),ROW(),"")</f>
        <v/>
      </c>
    </row>
    <row r="185" customFormat="false" ht="30" hidden="false" customHeight="true" outlineLevel="0" collapsed="false">
      <c r="A185" s="28" t="str">
        <f aca="false">IF(C185="","","INC-"&amp;YEAR(C185)&amp;"-"&amp;TEXT(COUNTIFS($C$6:C185,"&gt;="&amp;DATE(YEAR(C185),1,1),$C$6:C185,"&lt;="&amp;DATE(YEAR(C185),12,31)),"000"))</f>
        <v/>
      </c>
      <c r="B185" s="29"/>
      <c r="C185" s="30"/>
      <c r="D185" s="31"/>
      <c r="E185" s="30"/>
      <c r="F185" s="29"/>
      <c r="G185" s="29"/>
      <c r="H185" s="29"/>
      <c r="I185" s="29"/>
      <c r="J185" s="29"/>
      <c r="K185" s="29"/>
      <c r="L185" s="29"/>
      <c r="M185" s="29"/>
      <c r="N185" s="29"/>
      <c r="O185" s="29"/>
      <c r="P185" s="29"/>
      <c r="Q185" s="32"/>
      <c r="R185" s="29"/>
      <c r="S185" s="29"/>
      <c r="T185" s="33" t="str">
        <f aca="false">IF(AH185="Void – logged in error","",IF(OR(C185="",S185=""),IF(C185="","","Decide"),IF(OR(S185="Not reportable",S185="Over-3-day injury (record only)"),"No","Yes")))</f>
        <v/>
      </c>
      <c r="U185" s="34" t="str">
        <f aca="false">IF(OR(C185="",S185=""),"",IF(S185="Over-7-day injury",C185+15,IF(OR(S185="Death",S185="Specified injury",S185="Member of public to hospital",S185="Dangerous occurrence"),C185+10,"")))</f>
        <v/>
      </c>
      <c r="V185" s="28" t="str">
        <f aca="true">IF(C185="","",IF(AH185="Void – logged in error","Void",IF(W185&lt;&gt;"","Done – reported",IF(S185="Occupational disease","REPORT NOW – on diagnosis",IF(ISNUMBER(U185),IF(U185&lt;TODAY(),"OVERDUE – report now",IF(U185=TODAY(),"DUE TODAY",IF(U185-TODAY()&lt;='Start here'!$C$7,"DUE in "&amp;(U185-TODAY())&amp;" days",IF(OR(S185="Death",S185="Specified injury",S185="Member of public to hospital",S185="Dangerous occurrence"),"REPORT without delay","Report by date shown")))),IF(AND(N(Q185)&gt;7,OR(S185="",S185="Not reportable",S185="Over-3-day injury (record only)")),"CHECK – over 7 days off",IF(S185="","Decide RIDDOR",IF(S185="Over-3-day injury (record only)","Record only","Not reportable"))))))))</f>
        <v/>
      </c>
      <c r="W185" s="30"/>
      <c r="X185" s="29"/>
      <c r="Y185" s="32"/>
      <c r="Z185" s="29"/>
      <c r="AA185" s="35"/>
      <c r="AB185" s="29"/>
      <c r="AC185" s="29"/>
      <c r="AD185" s="29"/>
      <c r="AE185" s="29"/>
      <c r="AF185" s="29"/>
      <c r="AG185" s="30"/>
      <c r="AH185" s="29"/>
      <c r="AI185" s="36" t="str">
        <f aca="true">IF(OR(C185="",AH185="Closed",AH185="Void – logged in error",AG185=""),"",IF(AG185&lt;TODAY(),"OVERDUE",IF(AG185-TODAY()&lt;='Start here'!$C$8,"Due soon","On track")))</f>
        <v/>
      </c>
      <c r="AJ185" s="29"/>
      <c r="AK185" s="29"/>
      <c r="AL185" s="30"/>
      <c r="AM185" s="37" t="str">
        <f aca="false">IF(AND(C185&lt;&gt;"",AH185&lt;&gt;"Closed",AH185&lt;&gt;"Void – logged in error",OR(AH185&lt;&gt;"",AD185&lt;&gt;"",AE185&lt;&gt;"",AF185&lt;&gt;"",AG185&lt;&gt;"")),ROW(),"")</f>
        <v/>
      </c>
    </row>
    <row r="186" customFormat="false" ht="30" hidden="false" customHeight="true" outlineLevel="0" collapsed="false">
      <c r="A186" s="28" t="str">
        <f aca="false">IF(C186="","","INC-"&amp;YEAR(C186)&amp;"-"&amp;TEXT(COUNTIFS($C$6:C186,"&gt;="&amp;DATE(YEAR(C186),1,1),$C$6:C186,"&lt;="&amp;DATE(YEAR(C186),12,31)),"000"))</f>
        <v/>
      </c>
      <c r="B186" s="29"/>
      <c r="C186" s="30"/>
      <c r="D186" s="31"/>
      <c r="E186" s="30"/>
      <c r="F186" s="29"/>
      <c r="G186" s="29"/>
      <c r="H186" s="29"/>
      <c r="I186" s="29"/>
      <c r="J186" s="29"/>
      <c r="K186" s="29"/>
      <c r="L186" s="29"/>
      <c r="M186" s="29"/>
      <c r="N186" s="29"/>
      <c r="O186" s="29"/>
      <c r="P186" s="29"/>
      <c r="Q186" s="32"/>
      <c r="R186" s="29"/>
      <c r="S186" s="29"/>
      <c r="T186" s="33" t="str">
        <f aca="false">IF(AH186="Void – logged in error","",IF(OR(C186="",S186=""),IF(C186="","","Decide"),IF(OR(S186="Not reportable",S186="Over-3-day injury (record only)"),"No","Yes")))</f>
        <v/>
      </c>
      <c r="U186" s="34" t="str">
        <f aca="false">IF(OR(C186="",S186=""),"",IF(S186="Over-7-day injury",C186+15,IF(OR(S186="Death",S186="Specified injury",S186="Member of public to hospital",S186="Dangerous occurrence"),C186+10,"")))</f>
        <v/>
      </c>
      <c r="V186" s="28" t="str">
        <f aca="true">IF(C186="","",IF(AH186="Void – logged in error","Void",IF(W186&lt;&gt;"","Done – reported",IF(S186="Occupational disease","REPORT NOW – on diagnosis",IF(ISNUMBER(U186),IF(U186&lt;TODAY(),"OVERDUE – report now",IF(U186=TODAY(),"DUE TODAY",IF(U186-TODAY()&lt;='Start here'!$C$7,"DUE in "&amp;(U186-TODAY())&amp;" days",IF(OR(S186="Death",S186="Specified injury",S186="Member of public to hospital",S186="Dangerous occurrence"),"REPORT without delay","Report by date shown")))),IF(AND(N(Q186)&gt;7,OR(S186="",S186="Not reportable",S186="Over-3-day injury (record only)")),"CHECK – over 7 days off",IF(S186="","Decide RIDDOR",IF(S186="Over-3-day injury (record only)","Record only","Not reportable"))))))))</f>
        <v/>
      </c>
      <c r="W186" s="30"/>
      <c r="X186" s="29"/>
      <c r="Y186" s="32"/>
      <c r="Z186" s="29"/>
      <c r="AA186" s="35"/>
      <c r="AB186" s="29"/>
      <c r="AC186" s="29"/>
      <c r="AD186" s="29"/>
      <c r="AE186" s="29"/>
      <c r="AF186" s="29"/>
      <c r="AG186" s="30"/>
      <c r="AH186" s="29"/>
      <c r="AI186" s="36" t="str">
        <f aca="true">IF(OR(C186="",AH186="Closed",AH186="Void – logged in error",AG186=""),"",IF(AG186&lt;TODAY(),"OVERDUE",IF(AG186-TODAY()&lt;='Start here'!$C$8,"Due soon","On track")))</f>
        <v/>
      </c>
      <c r="AJ186" s="29"/>
      <c r="AK186" s="29"/>
      <c r="AL186" s="30"/>
      <c r="AM186" s="37" t="str">
        <f aca="false">IF(AND(C186&lt;&gt;"",AH186&lt;&gt;"Closed",AH186&lt;&gt;"Void – logged in error",OR(AH186&lt;&gt;"",AD186&lt;&gt;"",AE186&lt;&gt;"",AF186&lt;&gt;"",AG186&lt;&gt;"")),ROW(),"")</f>
        <v/>
      </c>
    </row>
    <row r="187" customFormat="false" ht="30" hidden="false" customHeight="true" outlineLevel="0" collapsed="false">
      <c r="A187" s="28" t="str">
        <f aca="false">IF(C187="","","INC-"&amp;YEAR(C187)&amp;"-"&amp;TEXT(COUNTIFS($C$6:C187,"&gt;="&amp;DATE(YEAR(C187),1,1),$C$6:C187,"&lt;="&amp;DATE(YEAR(C187),12,31)),"000"))</f>
        <v/>
      </c>
      <c r="B187" s="29"/>
      <c r="C187" s="30"/>
      <c r="D187" s="31"/>
      <c r="E187" s="30"/>
      <c r="F187" s="29"/>
      <c r="G187" s="29"/>
      <c r="H187" s="29"/>
      <c r="I187" s="29"/>
      <c r="J187" s="29"/>
      <c r="K187" s="29"/>
      <c r="L187" s="29"/>
      <c r="M187" s="29"/>
      <c r="N187" s="29"/>
      <c r="O187" s="29"/>
      <c r="P187" s="29"/>
      <c r="Q187" s="32"/>
      <c r="R187" s="29"/>
      <c r="S187" s="29"/>
      <c r="T187" s="33" t="str">
        <f aca="false">IF(AH187="Void – logged in error","",IF(OR(C187="",S187=""),IF(C187="","","Decide"),IF(OR(S187="Not reportable",S187="Over-3-day injury (record only)"),"No","Yes")))</f>
        <v/>
      </c>
      <c r="U187" s="34" t="str">
        <f aca="false">IF(OR(C187="",S187=""),"",IF(S187="Over-7-day injury",C187+15,IF(OR(S187="Death",S187="Specified injury",S187="Member of public to hospital",S187="Dangerous occurrence"),C187+10,"")))</f>
        <v/>
      </c>
      <c r="V187" s="28" t="str">
        <f aca="true">IF(C187="","",IF(AH187="Void – logged in error","Void",IF(W187&lt;&gt;"","Done – reported",IF(S187="Occupational disease","REPORT NOW – on diagnosis",IF(ISNUMBER(U187),IF(U187&lt;TODAY(),"OVERDUE – report now",IF(U187=TODAY(),"DUE TODAY",IF(U187-TODAY()&lt;='Start here'!$C$7,"DUE in "&amp;(U187-TODAY())&amp;" days",IF(OR(S187="Death",S187="Specified injury",S187="Member of public to hospital",S187="Dangerous occurrence"),"REPORT without delay","Report by date shown")))),IF(AND(N(Q187)&gt;7,OR(S187="",S187="Not reportable",S187="Over-3-day injury (record only)")),"CHECK – over 7 days off",IF(S187="","Decide RIDDOR",IF(S187="Over-3-day injury (record only)","Record only","Not reportable"))))))))</f>
        <v/>
      </c>
      <c r="W187" s="30"/>
      <c r="X187" s="29"/>
      <c r="Y187" s="32"/>
      <c r="Z187" s="29"/>
      <c r="AA187" s="35"/>
      <c r="AB187" s="29"/>
      <c r="AC187" s="29"/>
      <c r="AD187" s="29"/>
      <c r="AE187" s="29"/>
      <c r="AF187" s="29"/>
      <c r="AG187" s="30"/>
      <c r="AH187" s="29"/>
      <c r="AI187" s="36" t="str">
        <f aca="true">IF(OR(C187="",AH187="Closed",AH187="Void – logged in error",AG187=""),"",IF(AG187&lt;TODAY(),"OVERDUE",IF(AG187-TODAY()&lt;='Start here'!$C$8,"Due soon","On track")))</f>
        <v/>
      </c>
      <c r="AJ187" s="29"/>
      <c r="AK187" s="29"/>
      <c r="AL187" s="30"/>
      <c r="AM187" s="37" t="str">
        <f aca="false">IF(AND(C187&lt;&gt;"",AH187&lt;&gt;"Closed",AH187&lt;&gt;"Void – logged in error",OR(AH187&lt;&gt;"",AD187&lt;&gt;"",AE187&lt;&gt;"",AF187&lt;&gt;"",AG187&lt;&gt;"")),ROW(),"")</f>
        <v/>
      </c>
    </row>
    <row r="188" customFormat="false" ht="30" hidden="false" customHeight="true" outlineLevel="0" collapsed="false">
      <c r="A188" s="28" t="str">
        <f aca="false">IF(C188="","","INC-"&amp;YEAR(C188)&amp;"-"&amp;TEXT(COUNTIFS($C$6:C188,"&gt;="&amp;DATE(YEAR(C188),1,1),$C$6:C188,"&lt;="&amp;DATE(YEAR(C188),12,31)),"000"))</f>
        <v/>
      </c>
      <c r="B188" s="29"/>
      <c r="C188" s="30"/>
      <c r="D188" s="31"/>
      <c r="E188" s="30"/>
      <c r="F188" s="29"/>
      <c r="G188" s="29"/>
      <c r="H188" s="29"/>
      <c r="I188" s="29"/>
      <c r="J188" s="29"/>
      <c r="K188" s="29"/>
      <c r="L188" s="29"/>
      <c r="M188" s="29"/>
      <c r="N188" s="29"/>
      <c r="O188" s="29"/>
      <c r="P188" s="29"/>
      <c r="Q188" s="32"/>
      <c r="R188" s="29"/>
      <c r="S188" s="29"/>
      <c r="T188" s="33" t="str">
        <f aca="false">IF(AH188="Void – logged in error","",IF(OR(C188="",S188=""),IF(C188="","","Decide"),IF(OR(S188="Not reportable",S188="Over-3-day injury (record only)"),"No","Yes")))</f>
        <v/>
      </c>
      <c r="U188" s="34" t="str">
        <f aca="false">IF(OR(C188="",S188=""),"",IF(S188="Over-7-day injury",C188+15,IF(OR(S188="Death",S188="Specified injury",S188="Member of public to hospital",S188="Dangerous occurrence"),C188+10,"")))</f>
        <v/>
      </c>
      <c r="V188" s="28" t="str">
        <f aca="true">IF(C188="","",IF(AH188="Void – logged in error","Void",IF(W188&lt;&gt;"","Done – reported",IF(S188="Occupational disease","REPORT NOW – on diagnosis",IF(ISNUMBER(U188),IF(U188&lt;TODAY(),"OVERDUE – report now",IF(U188=TODAY(),"DUE TODAY",IF(U188-TODAY()&lt;='Start here'!$C$7,"DUE in "&amp;(U188-TODAY())&amp;" days",IF(OR(S188="Death",S188="Specified injury",S188="Member of public to hospital",S188="Dangerous occurrence"),"REPORT without delay","Report by date shown")))),IF(AND(N(Q188)&gt;7,OR(S188="",S188="Not reportable",S188="Over-3-day injury (record only)")),"CHECK – over 7 days off",IF(S188="","Decide RIDDOR",IF(S188="Over-3-day injury (record only)","Record only","Not reportable"))))))))</f>
        <v/>
      </c>
      <c r="W188" s="30"/>
      <c r="X188" s="29"/>
      <c r="Y188" s="32"/>
      <c r="Z188" s="29"/>
      <c r="AA188" s="35"/>
      <c r="AB188" s="29"/>
      <c r="AC188" s="29"/>
      <c r="AD188" s="29"/>
      <c r="AE188" s="29"/>
      <c r="AF188" s="29"/>
      <c r="AG188" s="30"/>
      <c r="AH188" s="29"/>
      <c r="AI188" s="36" t="str">
        <f aca="true">IF(OR(C188="",AH188="Closed",AH188="Void – logged in error",AG188=""),"",IF(AG188&lt;TODAY(),"OVERDUE",IF(AG188-TODAY()&lt;='Start here'!$C$8,"Due soon","On track")))</f>
        <v/>
      </c>
      <c r="AJ188" s="29"/>
      <c r="AK188" s="29"/>
      <c r="AL188" s="30"/>
      <c r="AM188" s="37" t="str">
        <f aca="false">IF(AND(C188&lt;&gt;"",AH188&lt;&gt;"Closed",AH188&lt;&gt;"Void – logged in error",OR(AH188&lt;&gt;"",AD188&lt;&gt;"",AE188&lt;&gt;"",AF188&lt;&gt;"",AG188&lt;&gt;"")),ROW(),"")</f>
        <v/>
      </c>
    </row>
    <row r="189" customFormat="false" ht="30" hidden="false" customHeight="true" outlineLevel="0" collapsed="false">
      <c r="A189" s="28" t="str">
        <f aca="false">IF(C189="","","INC-"&amp;YEAR(C189)&amp;"-"&amp;TEXT(COUNTIFS($C$6:C189,"&gt;="&amp;DATE(YEAR(C189),1,1),$C$6:C189,"&lt;="&amp;DATE(YEAR(C189),12,31)),"000"))</f>
        <v/>
      </c>
      <c r="B189" s="29"/>
      <c r="C189" s="30"/>
      <c r="D189" s="31"/>
      <c r="E189" s="30"/>
      <c r="F189" s="29"/>
      <c r="G189" s="29"/>
      <c r="H189" s="29"/>
      <c r="I189" s="29"/>
      <c r="J189" s="29"/>
      <c r="K189" s="29"/>
      <c r="L189" s="29"/>
      <c r="M189" s="29"/>
      <c r="N189" s="29"/>
      <c r="O189" s="29"/>
      <c r="P189" s="29"/>
      <c r="Q189" s="32"/>
      <c r="R189" s="29"/>
      <c r="S189" s="29"/>
      <c r="T189" s="33" t="str">
        <f aca="false">IF(AH189="Void – logged in error","",IF(OR(C189="",S189=""),IF(C189="","","Decide"),IF(OR(S189="Not reportable",S189="Over-3-day injury (record only)"),"No","Yes")))</f>
        <v/>
      </c>
      <c r="U189" s="34" t="str">
        <f aca="false">IF(OR(C189="",S189=""),"",IF(S189="Over-7-day injury",C189+15,IF(OR(S189="Death",S189="Specified injury",S189="Member of public to hospital",S189="Dangerous occurrence"),C189+10,"")))</f>
        <v/>
      </c>
      <c r="V189" s="28" t="str">
        <f aca="true">IF(C189="","",IF(AH189="Void – logged in error","Void",IF(W189&lt;&gt;"","Done – reported",IF(S189="Occupational disease","REPORT NOW – on diagnosis",IF(ISNUMBER(U189),IF(U189&lt;TODAY(),"OVERDUE – report now",IF(U189=TODAY(),"DUE TODAY",IF(U189-TODAY()&lt;='Start here'!$C$7,"DUE in "&amp;(U189-TODAY())&amp;" days",IF(OR(S189="Death",S189="Specified injury",S189="Member of public to hospital",S189="Dangerous occurrence"),"REPORT without delay","Report by date shown")))),IF(AND(N(Q189)&gt;7,OR(S189="",S189="Not reportable",S189="Over-3-day injury (record only)")),"CHECK – over 7 days off",IF(S189="","Decide RIDDOR",IF(S189="Over-3-day injury (record only)","Record only","Not reportable"))))))))</f>
        <v/>
      </c>
      <c r="W189" s="30"/>
      <c r="X189" s="29"/>
      <c r="Y189" s="32"/>
      <c r="Z189" s="29"/>
      <c r="AA189" s="35"/>
      <c r="AB189" s="29"/>
      <c r="AC189" s="29"/>
      <c r="AD189" s="29"/>
      <c r="AE189" s="29"/>
      <c r="AF189" s="29"/>
      <c r="AG189" s="30"/>
      <c r="AH189" s="29"/>
      <c r="AI189" s="36" t="str">
        <f aca="true">IF(OR(C189="",AH189="Closed",AH189="Void – logged in error",AG189=""),"",IF(AG189&lt;TODAY(),"OVERDUE",IF(AG189-TODAY()&lt;='Start here'!$C$8,"Due soon","On track")))</f>
        <v/>
      </c>
      <c r="AJ189" s="29"/>
      <c r="AK189" s="29"/>
      <c r="AL189" s="30"/>
      <c r="AM189" s="37" t="str">
        <f aca="false">IF(AND(C189&lt;&gt;"",AH189&lt;&gt;"Closed",AH189&lt;&gt;"Void – logged in error",OR(AH189&lt;&gt;"",AD189&lt;&gt;"",AE189&lt;&gt;"",AF189&lt;&gt;"",AG189&lt;&gt;"")),ROW(),"")</f>
        <v/>
      </c>
    </row>
    <row r="190" customFormat="false" ht="30" hidden="false" customHeight="true" outlineLevel="0" collapsed="false">
      <c r="A190" s="28" t="str">
        <f aca="false">IF(C190="","","INC-"&amp;YEAR(C190)&amp;"-"&amp;TEXT(COUNTIFS($C$6:C190,"&gt;="&amp;DATE(YEAR(C190),1,1),$C$6:C190,"&lt;="&amp;DATE(YEAR(C190),12,31)),"000"))</f>
        <v/>
      </c>
      <c r="B190" s="29"/>
      <c r="C190" s="30"/>
      <c r="D190" s="31"/>
      <c r="E190" s="30"/>
      <c r="F190" s="29"/>
      <c r="G190" s="29"/>
      <c r="H190" s="29"/>
      <c r="I190" s="29"/>
      <c r="J190" s="29"/>
      <c r="K190" s="29"/>
      <c r="L190" s="29"/>
      <c r="M190" s="29"/>
      <c r="N190" s="29"/>
      <c r="O190" s="29"/>
      <c r="P190" s="29"/>
      <c r="Q190" s="32"/>
      <c r="R190" s="29"/>
      <c r="S190" s="29"/>
      <c r="T190" s="33" t="str">
        <f aca="false">IF(AH190="Void – logged in error","",IF(OR(C190="",S190=""),IF(C190="","","Decide"),IF(OR(S190="Not reportable",S190="Over-3-day injury (record only)"),"No","Yes")))</f>
        <v/>
      </c>
      <c r="U190" s="34" t="str">
        <f aca="false">IF(OR(C190="",S190=""),"",IF(S190="Over-7-day injury",C190+15,IF(OR(S190="Death",S190="Specified injury",S190="Member of public to hospital",S190="Dangerous occurrence"),C190+10,"")))</f>
        <v/>
      </c>
      <c r="V190" s="28" t="str">
        <f aca="true">IF(C190="","",IF(AH190="Void – logged in error","Void",IF(W190&lt;&gt;"","Done – reported",IF(S190="Occupational disease","REPORT NOW – on diagnosis",IF(ISNUMBER(U190),IF(U190&lt;TODAY(),"OVERDUE – report now",IF(U190=TODAY(),"DUE TODAY",IF(U190-TODAY()&lt;='Start here'!$C$7,"DUE in "&amp;(U190-TODAY())&amp;" days",IF(OR(S190="Death",S190="Specified injury",S190="Member of public to hospital",S190="Dangerous occurrence"),"REPORT without delay","Report by date shown")))),IF(AND(N(Q190)&gt;7,OR(S190="",S190="Not reportable",S190="Over-3-day injury (record only)")),"CHECK – over 7 days off",IF(S190="","Decide RIDDOR",IF(S190="Over-3-day injury (record only)","Record only","Not reportable"))))))))</f>
        <v/>
      </c>
      <c r="W190" s="30"/>
      <c r="X190" s="29"/>
      <c r="Y190" s="32"/>
      <c r="Z190" s="29"/>
      <c r="AA190" s="35"/>
      <c r="AB190" s="29"/>
      <c r="AC190" s="29"/>
      <c r="AD190" s="29"/>
      <c r="AE190" s="29"/>
      <c r="AF190" s="29"/>
      <c r="AG190" s="30"/>
      <c r="AH190" s="29"/>
      <c r="AI190" s="36" t="str">
        <f aca="true">IF(OR(C190="",AH190="Closed",AH190="Void – logged in error",AG190=""),"",IF(AG190&lt;TODAY(),"OVERDUE",IF(AG190-TODAY()&lt;='Start here'!$C$8,"Due soon","On track")))</f>
        <v/>
      </c>
      <c r="AJ190" s="29"/>
      <c r="AK190" s="29"/>
      <c r="AL190" s="30"/>
      <c r="AM190" s="37" t="str">
        <f aca="false">IF(AND(C190&lt;&gt;"",AH190&lt;&gt;"Closed",AH190&lt;&gt;"Void – logged in error",OR(AH190&lt;&gt;"",AD190&lt;&gt;"",AE190&lt;&gt;"",AF190&lt;&gt;"",AG190&lt;&gt;"")),ROW(),"")</f>
        <v/>
      </c>
    </row>
    <row r="191" customFormat="false" ht="30" hidden="false" customHeight="true" outlineLevel="0" collapsed="false">
      <c r="A191" s="28" t="str">
        <f aca="false">IF(C191="","","INC-"&amp;YEAR(C191)&amp;"-"&amp;TEXT(COUNTIFS($C$6:C191,"&gt;="&amp;DATE(YEAR(C191),1,1),$C$6:C191,"&lt;="&amp;DATE(YEAR(C191),12,31)),"000"))</f>
        <v/>
      </c>
      <c r="B191" s="29"/>
      <c r="C191" s="30"/>
      <c r="D191" s="31"/>
      <c r="E191" s="30"/>
      <c r="F191" s="29"/>
      <c r="G191" s="29"/>
      <c r="H191" s="29"/>
      <c r="I191" s="29"/>
      <c r="J191" s="29"/>
      <c r="K191" s="29"/>
      <c r="L191" s="29"/>
      <c r="M191" s="29"/>
      <c r="N191" s="29"/>
      <c r="O191" s="29"/>
      <c r="P191" s="29"/>
      <c r="Q191" s="32"/>
      <c r="R191" s="29"/>
      <c r="S191" s="29"/>
      <c r="T191" s="33" t="str">
        <f aca="false">IF(AH191="Void – logged in error","",IF(OR(C191="",S191=""),IF(C191="","","Decide"),IF(OR(S191="Not reportable",S191="Over-3-day injury (record only)"),"No","Yes")))</f>
        <v/>
      </c>
      <c r="U191" s="34" t="str">
        <f aca="false">IF(OR(C191="",S191=""),"",IF(S191="Over-7-day injury",C191+15,IF(OR(S191="Death",S191="Specified injury",S191="Member of public to hospital",S191="Dangerous occurrence"),C191+10,"")))</f>
        <v/>
      </c>
      <c r="V191" s="28" t="str">
        <f aca="true">IF(C191="","",IF(AH191="Void – logged in error","Void",IF(W191&lt;&gt;"","Done – reported",IF(S191="Occupational disease","REPORT NOW – on diagnosis",IF(ISNUMBER(U191),IF(U191&lt;TODAY(),"OVERDUE – report now",IF(U191=TODAY(),"DUE TODAY",IF(U191-TODAY()&lt;='Start here'!$C$7,"DUE in "&amp;(U191-TODAY())&amp;" days",IF(OR(S191="Death",S191="Specified injury",S191="Member of public to hospital",S191="Dangerous occurrence"),"REPORT without delay","Report by date shown")))),IF(AND(N(Q191)&gt;7,OR(S191="",S191="Not reportable",S191="Over-3-day injury (record only)")),"CHECK – over 7 days off",IF(S191="","Decide RIDDOR",IF(S191="Over-3-day injury (record only)","Record only","Not reportable"))))))))</f>
        <v/>
      </c>
      <c r="W191" s="30"/>
      <c r="X191" s="29"/>
      <c r="Y191" s="32"/>
      <c r="Z191" s="29"/>
      <c r="AA191" s="35"/>
      <c r="AB191" s="29"/>
      <c r="AC191" s="29"/>
      <c r="AD191" s="29"/>
      <c r="AE191" s="29"/>
      <c r="AF191" s="29"/>
      <c r="AG191" s="30"/>
      <c r="AH191" s="29"/>
      <c r="AI191" s="36" t="str">
        <f aca="true">IF(OR(C191="",AH191="Closed",AH191="Void – logged in error",AG191=""),"",IF(AG191&lt;TODAY(),"OVERDUE",IF(AG191-TODAY()&lt;='Start here'!$C$8,"Due soon","On track")))</f>
        <v/>
      </c>
      <c r="AJ191" s="29"/>
      <c r="AK191" s="29"/>
      <c r="AL191" s="30"/>
      <c r="AM191" s="37" t="str">
        <f aca="false">IF(AND(C191&lt;&gt;"",AH191&lt;&gt;"Closed",AH191&lt;&gt;"Void – logged in error",OR(AH191&lt;&gt;"",AD191&lt;&gt;"",AE191&lt;&gt;"",AF191&lt;&gt;"",AG191&lt;&gt;"")),ROW(),"")</f>
        <v/>
      </c>
    </row>
    <row r="192" customFormat="false" ht="30" hidden="false" customHeight="true" outlineLevel="0" collapsed="false">
      <c r="A192" s="28" t="str">
        <f aca="false">IF(C192="","","INC-"&amp;YEAR(C192)&amp;"-"&amp;TEXT(COUNTIFS($C$6:C192,"&gt;="&amp;DATE(YEAR(C192),1,1),$C$6:C192,"&lt;="&amp;DATE(YEAR(C192),12,31)),"000"))</f>
        <v/>
      </c>
      <c r="B192" s="29"/>
      <c r="C192" s="30"/>
      <c r="D192" s="31"/>
      <c r="E192" s="30"/>
      <c r="F192" s="29"/>
      <c r="G192" s="29"/>
      <c r="H192" s="29"/>
      <c r="I192" s="29"/>
      <c r="J192" s="29"/>
      <c r="K192" s="29"/>
      <c r="L192" s="29"/>
      <c r="M192" s="29"/>
      <c r="N192" s="29"/>
      <c r="O192" s="29"/>
      <c r="P192" s="29"/>
      <c r="Q192" s="32"/>
      <c r="R192" s="29"/>
      <c r="S192" s="29"/>
      <c r="T192" s="33" t="str">
        <f aca="false">IF(AH192="Void – logged in error","",IF(OR(C192="",S192=""),IF(C192="","","Decide"),IF(OR(S192="Not reportable",S192="Over-3-day injury (record only)"),"No","Yes")))</f>
        <v/>
      </c>
      <c r="U192" s="34" t="str">
        <f aca="false">IF(OR(C192="",S192=""),"",IF(S192="Over-7-day injury",C192+15,IF(OR(S192="Death",S192="Specified injury",S192="Member of public to hospital",S192="Dangerous occurrence"),C192+10,"")))</f>
        <v/>
      </c>
      <c r="V192" s="28" t="str">
        <f aca="true">IF(C192="","",IF(AH192="Void – logged in error","Void",IF(W192&lt;&gt;"","Done – reported",IF(S192="Occupational disease","REPORT NOW – on diagnosis",IF(ISNUMBER(U192),IF(U192&lt;TODAY(),"OVERDUE – report now",IF(U192=TODAY(),"DUE TODAY",IF(U192-TODAY()&lt;='Start here'!$C$7,"DUE in "&amp;(U192-TODAY())&amp;" days",IF(OR(S192="Death",S192="Specified injury",S192="Member of public to hospital",S192="Dangerous occurrence"),"REPORT without delay","Report by date shown")))),IF(AND(N(Q192)&gt;7,OR(S192="",S192="Not reportable",S192="Over-3-day injury (record only)")),"CHECK – over 7 days off",IF(S192="","Decide RIDDOR",IF(S192="Over-3-day injury (record only)","Record only","Not reportable"))))))))</f>
        <v/>
      </c>
      <c r="W192" s="30"/>
      <c r="X192" s="29"/>
      <c r="Y192" s="32"/>
      <c r="Z192" s="29"/>
      <c r="AA192" s="35"/>
      <c r="AB192" s="29"/>
      <c r="AC192" s="29"/>
      <c r="AD192" s="29"/>
      <c r="AE192" s="29"/>
      <c r="AF192" s="29"/>
      <c r="AG192" s="30"/>
      <c r="AH192" s="29"/>
      <c r="AI192" s="36" t="str">
        <f aca="true">IF(OR(C192="",AH192="Closed",AH192="Void – logged in error",AG192=""),"",IF(AG192&lt;TODAY(),"OVERDUE",IF(AG192-TODAY()&lt;='Start here'!$C$8,"Due soon","On track")))</f>
        <v/>
      </c>
      <c r="AJ192" s="29"/>
      <c r="AK192" s="29"/>
      <c r="AL192" s="30"/>
      <c r="AM192" s="37" t="str">
        <f aca="false">IF(AND(C192&lt;&gt;"",AH192&lt;&gt;"Closed",AH192&lt;&gt;"Void – logged in error",OR(AH192&lt;&gt;"",AD192&lt;&gt;"",AE192&lt;&gt;"",AF192&lt;&gt;"",AG192&lt;&gt;"")),ROW(),"")</f>
        <v/>
      </c>
    </row>
    <row r="193" customFormat="false" ht="30" hidden="false" customHeight="true" outlineLevel="0" collapsed="false">
      <c r="A193" s="28" t="str">
        <f aca="false">IF(C193="","","INC-"&amp;YEAR(C193)&amp;"-"&amp;TEXT(COUNTIFS($C$6:C193,"&gt;="&amp;DATE(YEAR(C193),1,1),$C$6:C193,"&lt;="&amp;DATE(YEAR(C193),12,31)),"000"))</f>
        <v/>
      </c>
      <c r="B193" s="29"/>
      <c r="C193" s="30"/>
      <c r="D193" s="31"/>
      <c r="E193" s="30"/>
      <c r="F193" s="29"/>
      <c r="G193" s="29"/>
      <c r="H193" s="29"/>
      <c r="I193" s="29"/>
      <c r="J193" s="29"/>
      <c r="K193" s="29"/>
      <c r="L193" s="29"/>
      <c r="M193" s="29"/>
      <c r="N193" s="29"/>
      <c r="O193" s="29"/>
      <c r="P193" s="29"/>
      <c r="Q193" s="32"/>
      <c r="R193" s="29"/>
      <c r="S193" s="29"/>
      <c r="T193" s="33" t="str">
        <f aca="false">IF(AH193="Void – logged in error","",IF(OR(C193="",S193=""),IF(C193="","","Decide"),IF(OR(S193="Not reportable",S193="Over-3-day injury (record only)"),"No","Yes")))</f>
        <v/>
      </c>
      <c r="U193" s="34" t="str">
        <f aca="false">IF(OR(C193="",S193=""),"",IF(S193="Over-7-day injury",C193+15,IF(OR(S193="Death",S193="Specified injury",S193="Member of public to hospital",S193="Dangerous occurrence"),C193+10,"")))</f>
        <v/>
      </c>
      <c r="V193" s="28" t="str">
        <f aca="true">IF(C193="","",IF(AH193="Void – logged in error","Void",IF(W193&lt;&gt;"","Done – reported",IF(S193="Occupational disease","REPORT NOW – on diagnosis",IF(ISNUMBER(U193),IF(U193&lt;TODAY(),"OVERDUE – report now",IF(U193=TODAY(),"DUE TODAY",IF(U193-TODAY()&lt;='Start here'!$C$7,"DUE in "&amp;(U193-TODAY())&amp;" days",IF(OR(S193="Death",S193="Specified injury",S193="Member of public to hospital",S193="Dangerous occurrence"),"REPORT without delay","Report by date shown")))),IF(AND(N(Q193)&gt;7,OR(S193="",S193="Not reportable",S193="Over-3-day injury (record only)")),"CHECK – over 7 days off",IF(S193="","Decide RIDDOR",IF(S193="Over-3-day injury (record only)","Record only","Not reportable"))))))))</f>
        <v/>
      </c>
      <c r="W193" s="30"/>
      <c r="X193" s="29"/>
      <c r="Y193" s="32"/>
      <c r="Z193" s="29"/>
      <c r="AA193" s="35"/>
      <c r="AB193" s="29"/>
      <c r="AC193" s="29"/>
      <c r="AD193" s="29"/>
      <c r="AE193" s="29"/>
      <c r="AF193" s="29"/>
      <c r="AG193" s="30"/>
      <c r="AH193" s="29"/>
      <c r="AI193" s="36" t="str">
        <f aca="true">IF(OR(C193="",AH193="Closed",AH193="Void – logged in error",AG193=""),"",IF(AG193&lt;TODAY(),"OVERDUE",IF(AG193-TODAY()&lt;='Start here'!$C$8,"Due soon","On track")))</f>
        <v/>
      </c>
      <c r="AJ193" s="29"/>
      <c r="AK193" s="29"/>
      <c r="AL193" s="30"/>
      <c r="AM193" s="37" t="str">
        <f aca="false">IF(AND(C193&lt;&gt;"",AH193&lt;&gt;"Closed",AH193&lt;&gt;"Void – logged in error",OR(AH193&lt;&gt;"",AD193&lt;&gt;"",AE193&lt;&gt;"",AF193&lt;&gt;"",AG193&lt;&gt;"")),ROW(),"")</f>
        <v/>
      </c>
    </row>
    <row r="194" customFormat="false" ht="30" hidden="false" customHeight="true" outlineLevel="0" collapsed="false">
      <c r="A194" s="28" t="str">
        <f aca="false">IF(C194="","","INC-"&amp;YEAR(C194)&amp;"-"&amp;TEXT(COUNTIFS($C$6:C194,"&gt;="&amp;DATE(YEAR(C194),1,1),$C$6:C194,"&lt;="&amp;DATE(YEAR(C194),12,31)),"000"))</f>
        <v/>
      </c>
      <c r="B194" s="29"/>
      <c r="C194" s="30"/>
      <c r="D194" s="31"/>
      <c r="E194" s="30"/>
      <c r="F194" s="29"/>
      <c r="G194" s="29"/>
      <c r="H194" s="29"/>
      <c r="I194" s="29"/>
      <c r="J194" s="29"/>
      <c r="K194" s="29"/>
      <c r="L194" s="29"/>
      <c r="M194" s="29"/>
      <c r="N194" s="29"/>
      <c r="O194" s="29"/>
      <c r="P194" s="29"/>
      <c r="Q194" s="32"/>
      <c r="R194" s="29"/>
      <c r="S194" s="29"/>
      <c r="T194" s="33" t="str">
        <f aca="false">IF(AH194="Void – logged in error","",IF(OR(C194="",S194=""),IF(C194="","","Decide"),IF(OR(S194="Not reportable",S194="Over-3-day injury (record only)"),"No","Yes")))</f>
        <v/>
      </c>
      <c r="U194" s="34" t="str">
        <f aca="false">IF(OR(C194="",S194=""),"",IF(S194="Over-7-day injury",C194+15,IF(OR(S194="Death",S194="Specified injury",S194="Member of public to hospital",S194="Dangerous occurrence"),C194+10,"")))</f>
        <v/>
      </c>
      <c r="V194" s="28" t="str">
        <f aca="true">IF(C194="","",IF(AH194="Void – logged in error","Void",IF(W194&lt;&gt;"","Done – reported",IF(S194="Occupational disease","REPORT NOW – on diagnosis",IF(ISNUMBER(U194),IF(U194&lt;TODAY(),"OVERDUE – report now",IF(U194=TODAY(),"DUE TODAY",IF(U194-TODAY()&lt;='Start here'!$C$7,"DUE in "&amp;(U194-TODAY())&amp;" days",IF(OR(S194="Death",S194="Specified injury",S194="Member of public to hospital",S194="Dangerous occurrence"),"REPORT without delay","Report by date shown")))),IF(AND(N(Q194)&gt;7,OR(S194="",S194="Not reportable",S194="Over-3-day injury (record only)")),"CHECK – over 7 days off",IF(S194="","Decide RIDDOR",IF(S194="Over-3-day injury (record only)","Record only","Not reportable"))))))))</f>
        <v/>
      </c>
      <c r="W194" s="30"/>
      <c r="X194" s="29"/>
      <c r="Y194" s="32"/>
      <c r="Z194" s="29"/>
      <c r="AA194" s="35"/>
      <c r="AB194" s="29"/>
      <c r="AC194" s="29"/>
      <c r="AD194" s="29"/>
      <c r="AE194" s="29"/>
      <c r="AF194" s="29"/>
      <c r="AG194" s="30"/>
      <c r="AH194" s="29"/>
      <c r="AI194" s="36" t="str">
        <f aca="true">IF(OR(C194="",AH194="Closed",AH194="Void – logged in error",AG194=""),"",IF(AG194&lt;TODAY(),"OVERDUE",IF(AG194-TODAY()&lt;='Start here'!$C$8,"Due soon","On track")))</f>
        <v/>
      </c>
      <c r="AJ194" s="29"/>
      <c r="AK194" s="29"/>
      <c r="AL194" s="30"/>
      <c r="AM194" s="37" t="str">
        <f aca="false">IF(AND(C194&lt;&gt;"",AH194&lt;&gt;"Closed",AH194&lt;&gt;"Void – logged in error",OR(AH194&lt;&gt;"",AD194&lt;&gt;"",AE194&lt;&gt;"",AF194&lt;&gt;"",AG194&lt;&gt;"")),ROW(),"")</f>
        <v/>
      </c>
    </row>
    <row r="195" customFormat="false" ht="30" hidden="false" customHeight="true" outlineLevel="0" collapsed="false">
      <c r="A195" s="28" t="str">
        <f aca="false">IF(C195="","","INC-"&amp;YEAR(C195)&amp;"-"&amp;TEXT(COUNTIFS($C$6:C195,"&gt;="&amp;DATE(YEAR(C195),1,1),$C$6:C195,"&lt;="&amp;DATE(YEAR(C195),12,31)),"000"))</f>
        <v/>
      </c>
      <c r="B195" s="29"/>
      <c r="C195" s="30"/>
      <c r="D195" s="31"/>
      <c r="E195" s="30"/>
      <c r="F195" s="29"/>
      <c r="G195" s="29"/>
      <c r="H195" s="29"/>
      <c r="I195" s="29"/>
      <c r="J195" s="29"/>
      <c r="K195" s="29"/>
      <c r="L195" s="29"/>
      <c r="M195" s="29"/>
      <c r="N195" s="29"/>
      <c r="O195" s="29"/>
      <c r="P195" s="29"/>
      <c r="Q195" s="32"/>
      <c r="R195" s="29"/>
      <c r="S195" s="29"/>
      <c r="T195" s="33" t="str">
        <f aca="false">IF(AH195="Void – logged in error","",IF(OR(C195="",S195=""),IF(C195="","","Decide"),IF(OR(S195="Not reportable",S195="Over-3-day injury (record only)"),"No","Yes")))</f>
        <v/>
      </c>
      <c r="U195" s="34" t="str">
        <f aca="false">IF(OR(C195="",S195=""),"",IF(S195="Over-7-day injury",C195+15,IF(OR(S195="Death",S195="Specified injury",S195="Member of public to hospital",S195="Dangerous occurrence"),C195+10,"")))</f>
        <v/>
      </c>
      <c r="V195" s="28" t="str">
        <f aca="true">IF(C195="","",IF(AH195="Void – logged in error","Void",IF(W195&lt;&gt;"","Done – reported",IF(S195="Occupational disease","REPORT NOW – on diagnosis",IF(ISNUMBER(U195),IF(U195&lt;TODAY(),"OVERDUE – report now",IF(U195=TODAY(),"DUE TODAY",IF(U195-TODAY()&lt;='Start here'!$C$7,"DUE in "&amp;(U195-TODAY())&amp;" days",IF(OR(S195="Death",S195="Specified injury",S195="Member of public to hospital",S195="Dangerous occurrence"),"REPORT without delay","Report by date shown")))),IF(AND(N(Q195)&gt;7,OR(S195="",S195="Not reportable",S195="Over-3-day injury (record only)")),"CHECK – over 7 days off",IF(S195="","Decide RIDDOR",IF(S195="Over-3-day injury (record only)","Record only","Not reportable"))))))))</f>
        <v/>
      </c>
      <c r="W195" s="30"/>
      <c r="X195" s="29"/>
      <c r="Y195" s="32"/>
      <c r="Z195" s="29"/>
      <c r="AA195" s="35"/>
      <c r="AB195" s="29"/>
      <c r="AC195" s="29"/>
      <c r="AD195" s="29"/>
      <c r="AE195" s="29"/>
      <c r="AF195" s="29"/>
      <c r="AG195" s="30"/>
      <c r="AH195" s="29"/>
      <c r="AI195" s="36" t="str">
        <f aca="true">IF(OR(C195="",AH195="Closed",AH195="Void – logged in error",AG195=""),"",IF(AG195&lt;TODAY(),"OVERDUE",IF(AG195-TODAY()&lt;='Start here'!$C$8,"Due soon","On track")))</f>
        <v/>
      </c>
      <c r="AJ195" s="29"/>
      <c r="AK195" s="29"/>
      <c r="AL195" s="30"/>
      <c r="AM195" s="37" t="str">
        <f aca="false">IF(AND(C195&lt;&gt;"",AH195&lt;&gt;"Closed",AH195&lt;&gt;"Void – logged in error",OR(AH195&lt;&gt;"",AD195&lt;&gt;"",AE195&lt;&gt;"",AF195&lt;&gt;"",AG195&lt;&gt;"")),ROW(),"")</f>
        <v/>
      </c>
    </row>
    <row r="196" customFormat="false" ht="30" hidden="false" customHeight="true" outlineLevel="0" collapsed="false">
      <c r="A196" s="28" t="str">
        <f aca="false">IF(C196="","","INC-"&amp;YEAR(C196)&amp;"-"&amp;TEXT(COUNTIFS($C$6:C196,"&gt;="&amp;DATE(YEAR(C196),1,1),$C$6:C196,"&lt;="&amp;DATE(YEAR(C196),12,31)),"000"))</f>
        <v/>
      </c>
      <c r="B196" s="29"/>
      <c r="C196" s="30"/>
      <c r="D196" s="31"/>
      <c r="E196" s="30"/>
      <c r="F196" s="29"/>
      <c r="G196" s="29"/>
      <c r="H196" s="29"/>
      <c r="I196" s="29"/>
      <c r="J196" s="29"/>
      <c r="K196" s="29"/>
      <c r="L196" s="29"/>
      <c r="M196" s="29"/>
      <c r="N196" s="29"/>
      <c r="O196" s="29"/>
      <c r="P196" s="29"/>
      <c r="Q196" s="32"/>
      <c r="R196" s="29"/>
      <c r="S196" s="29"/>
      <c r="T196" s="33" t="str">
        <f aca="false">IF(AH196="Void – logged in error","",IF(OR(C196="",S196=""),IF(C196="","","Decide"),IF(OR(S196="Not reportable",S196="Over-3-day injury (record only)"),"No","Yes")))</f>
        <v/>
      </c>
      <c r="U196" s="34" t="str">
        <f aca="false">IF(OR(C196="",S196=""),"",IF(S196="Over-7-day injury",C196+15,IF(OR(S196="Death",S196="Specified injury",S196="Member of public to hospital",S196="Dangerous occurrence"),C196+10,"")))</f>
        <v/>
      </c>
      <c r="V196" s="28" t="str">
        <f aca="true">IF(C196="","",IF(AH196="Void – logged in error","Void",IF(W196&lt;&gt;"","Done – reported",IF(S196="Occupational disease","REPORT NOW – on diagnosis",IF(ISNUMBER(U196),IF(U196&lt;TODAY(),"OVERDUE – report now",IF(U196=TODAY(),"DUE TODAY",IF(U196-TODAY()&lt;='Start here'!$C$7,"DUE in "&amp;(U196-TODAY())&amp;" days",IF(OR(S196="Death",S196="Specified injury",S196="Member of public to hospital",S196="Dangerous occurrence"),"REPORT without delay","Report by date shown")))),IF(AND(N(Q196)&gt;7,OR(S196="",S196="Not reportable",S196="Over-3-day injury (record only)")),"CHECK – over 7 days off",IF(S196="","Decide RIDDOR",IF(S196="Over-3-day injury (record only)","Record only","Not reportable"))))))))</f>
        <v/>
      </c>
      <c r="W196" s="30"/>
      <c r="X196" s="29"/>
      <c r="Y196" s="32"/>
      <c r="Z196" s="29"/>
      <c r="AA196" s="35"/>
      <c r="AB196" s="29"/>
      <c r="AC196" s="29"/>
      <c r="AD196" s="29"/>
      <c r="AE196" s="29"/>
      <c r="AF196" s="29"/>
      <c r="AG196" s="30"/>
      <c r="AH196" s="29"/>
      <c r="AI196" s="36" t="str">
        <f aca="true">IF(OR(C196="",AH196="Closed",AH196="Void – logged in error",AG196=""),"",IF(AG196&lt;TODAY(),"OVERDUE",IF(AG196-TODAY()&lt;='Start here'!$C$8,"Due soon","On track")))</f>
        <v/>
      </c>
      <c r="AJ196" s="29"/>
      <c r="AK196" s="29"/>
      <c r="AL196" s="30"/>
      <c r="AM196" s="37" t="str">
        <f aca="false">IF(AND(C196&lt;&gt;"",AH196&lt;&gt;"Closed",AH196&lt;&gt;"Void – logged in error",OR(AH196&lt;&gt;"",AD196&lt;&gt;"",AE196&lt;&gt;"",AF196&lt;&gt;"",AG196&lt;&gt;"")),ROW(),"")</f>
        <v/>
      </c>
    </row>
    <row r="197" customFormat="false" ht="30" hidden="false" customHeight="true" outlineLevel="0" collapsed="false">
      <c r="A197" s="28" t="str">
        <f aca="false">IF(C197="","","INC-"&amp;YEAR(C197)&amp;"-"&amp;TEXT(COUNTIFS($C$6:C197,"&gt;="&amp;DATE(YEAR(C197),1,1),$C$6:C197,"&lt;="&amp;DATE(YEAR(C197),12,31)),"000"))</f>
        <v/>
      </c>
      <c r="B197" s="29"/>
      <c r="C197" s="30"/>
      <c r="D197" s="31"/>
      <c r="E197" s="30"/>
      <c r="F197" s="29"/>
      <c r="G197" s="29"/>
      <c r="H197" s="29"/>
      <c r="I197" s="29"/>
      <c r="J197" s="29"/>
      <c r="K197" s="29"/>
      <c r="L197" s="29"/>
      <c r="M197" s="29"/>
      <c r="N197" s="29"/>
      <c r="O197" s="29"/>
      <c r="P197" s="29"/>
      <c r="Q197" s="32"/>
      <c r="R197" s="29"/>
      <c r="S197" s="29"/>
      <c r="T197" s="33" t="str">
        <f aca="false">IF(AH197="Void – logged in error","",IF(OR(C197="",S197=""),IF(C197="","","Decide"),IF(OR(S197="Not reportable",S197="Over-3-day injury (record only)"),"No","Yes")))</f>
        <v/>
      </c>
      <c r="U197" s="34" t="str">
        <f aca="false">IF(OR(C197="",S197=""),"",IF(S197="Over-7-day injury",C197+15,IF(OR(S197="Death",S197="Specified injury",S197="Member of public to hospital",S197="Dangerous occurrence"),C197+10,"")))</f>
        <v/>
      </c>
      <c r="V197" s="28" t="str">
        <f aca="true">IF(C197="","",IF(AH197="Void – logged in error","Void",IF(W197&lt;&gt;"","Done – reported",IF(S197="Occupational disease","REPORT NOW – on diagnosis",IF(ISNUMBER(U197),IF(U197&lt;TODAY(),"OVERDUE – report now",IF(U197=TODAY(),"DUE TODAY",IF(U197-TODAY()&lt;='Start here'!$C$7,"DUE in "&amp;(U197-TODAY())&amp;" days",IF(OR(S197="Death",S197="Specified injury",S197="Member of public to hospital",S197="Dangerous occurrence"),"REPORT without delay","Report by date shown")))),IF(AND(N(Q197)&gt;7,OR(S197="",S197="Not reportable",S197="Over-3-day injury (record only)")),"CHECK – over 7 days off",IF(S197="","Decide RIDDOR",IF(S197="Over-3-day injury (record only)","Record only","Not reportable"))))))))</f>
        <v/>
      </c>
      <c r="W197" s="30"/>
      <c r="X197" s="29"/>
      <c r="Y197" s="32"/>
      <c r="Z197" s="29"/>
      <c r="AA197" s="35"/>
      <c r="AB197" s="29"/>
      <c r="AC197" s="29"/>
      <c r="AD197" s="29"/>
      <c r="AE197" s="29"/>
      <c r="AF197" s="29"/>
      <c r="AG197" s="30"/>
      <c r="AH197" s="29"/>
      <c r="AI197" s="36" t="str">
        <f aca="true">IF(OR(C197="",AH197="Closed",AH197="Void – logged in error",AG197=""),"",IF(AG197&lt;TODAY(),"OVERDUE",IF(AG197-TODAY()&lt;='Start here'!$C$8,"Due soon","On track")))</f>
        <v/>
      </c>
      <c r="AJ197" s="29"/>
      <c r="AK197" s="29"/>
      <c r="AL197" s="30"/>
      <c r="AM197" s="37" t="str">
        <f aca="false">IF(AND(C197&lt;&gt;"",AH197&lt;&gt;"Closed",AH197&lt;&gt;"Void – logged in error",OR(AH197&lt;&gt;"",AD197&lt;&gt;"",AE197&lt;&gt;"",AF197&lt;&gt;"",AG197&lt;&gt;"")),ROW(),"")</f>
        <v/>
      </c>
    </row>
    <row r="198" customFormat="false" ht="30" hidden="false" customHeight="true" outlineLevel="0" collapsed="false">
      <c r="A198" s="28" t="str">
        <f aca="false">IF(C198="","","INC-"&amp;YEAR(C198)&amp;"-"&amp;TEXT(COUNTIFS($C$6:C198,"&gt;="&amp;DATE(YEAR(C198),1,1),$C$6:C198,"&lt;="&amp;DATE(YEAR(C198),12,31)),"000"))</f>
        <v/>
      </c>
      <c r="B198" s="29"/>
      <c r="C198" s="30"/>
      <c r="D198" s="31"/>
      <c r="E198" s="30"/>
      <c r="F198" s="29"/>
      <c r="G198" s="29"/>
      <c r="H198" s="29"/>
      <c r="I198" s="29"/>
      <c r="J198" s="29"/>
      <c r="K198" s="29"/>
      <c r="L198" s="29"/>
      <c r="M198" s="29"/>
      <c r="N198" s="29"/>
      <c r="O198" s="29"/>
      <c r="P198" s="29"/>
      <c r="Q198" s="32"/>
      <c r="R198" s="29"/>
      <c r="S198" s="29"/>
      <c r="T198" s="33" t="str">
        <f aca="false">IF(AH198="Void – logged in error","",IF(OR(C198="",S198=""),IF(C198="","","Decide"),IF(OR(S198="Not reportable",S198="Over-3-day injury (record only)"),"No","Yes")))</f>
        <v/>
      </c>
      <c r="U198" s="34" t="str">
        <f aca="false">IF(OR(C198="",S198=""),"",IF(S198="Over-7-day injury",C198+15,IF(OR(S198="Death",S198="Specified injury",S198="Member of public to hospital",S198="Dangerous occurrence"),C198+10,"")))</f>
        <v/>
      </c>
      <c r="V198" s="28" t="str">
        <f aca="true">IF(C198="","",IF(AH198="Void – logged in error","Void",IF(W198&lt;&gt;"","Done – reported",IF(S198="Occupational disease","REPORT NOW – on diagnosis",IF(ISNUMBER(U198),IF(U198&lt;TODAY(),"OVERDUE – report now",IF(U198=TODAY(),"DUE TODAY",IF(U198-TODAY()&lt;='Start here'!$C$7,"DUE in "&amp;(U198-TODAY())&amp;" days",IF(OR(S198="Death",S198="Specified injury",S198="Member of public to hospital",S198="Dangerous occurrence"),"REPORT without delay","Report by date shown")))),IF(AND(N(Q198)&gt;7,OR(S198="",S198="Not reportable",S198="Over-3-day injury (record only)")),"CHECK – over 7 days off",IF(S198="","Decide RIDDOR",IF(S198="Over-3-day injury (record only)","Record only","Not reportable"))))))))</f>
        <v/>
      </c>
      <c r="W198" s="30"/>
      <c r="X198" s="29"/>
      <c r="Y198" s="32"/>
      <c r="Z198" s="29"/>
      <c r="AA198" s="35"/>
      <c r="AB198" s="29"/>
      <c r="AC198" s="29"/>
      <c r="AD198" s="29"/>
      <c r="AE198" s="29"/>
      <c r="AF198" s="29"/>
      <c r="AG198" s="30"/>
      <c r="AH198" s="29"/>
      <c r="AI198" s="36" t="str">
        <f aca="true">IF(OR(C198="",AH198="Closed",AH198="Void – logged in error",AG198=""),"",IF(AG198&lt;TODAY(),"OVERDUE",IF(AG198-TODAY()&lt;='Start here'!$C$8,"Due soon","On track")))</f>
        <v/>
      </c>
      <c r="AJ198" s="29"/>
      <c r="AK198" s="29"/>
      <c r="AL198" s="30"/>
      <c r="AM198" s="37" t="str">
        <f aca="false">IF(AND(C198&lt;&gt;"",AH198&lt;&gt;"Closed",AH198&lt;&gt;"Void – logged in error",OR(AH198&lt;&gt;"",AD198&lt;&gt;"",AE198&lt;&gt;"",AF198&lt;&gt;"",AG198&lt;&gt;"")),ROW(),"")</f>
        <v/>
      </c>
    </row>
    <row r="199" customFormat="false" ht="30" hidden="false" customHeight="true" outlineLevel="0" collapsed="false">
      <c r="A199" s="28" t="str">
        <f aca="false">IF(C199="","","INC-"&amp;YEAR(C199)&amp;"-"&amp;TEXT(COUNTIFS($C$6:C199,"&gt;="&amp;DATE(YEAR(C199),1,1),$C$6:C199,"&lt;="&amp;DATE(YEAR(C199),12,31)),"000"))</f>
        <v/>
      </c>
      <c r="B199" s="29"/>
      <c r="C199" s="30"/>
      <c r="D199" s="31"/>
      <c r="E199" s="30"/>
      <c r="F199" s="29"/>
      <c r="G199" s="29"/>
      <c r="H199" s="29"/>
      <c r="I199" s="29"/>
      <c r="J199" s="29"/>
      <c r="K199" s="29"/>
      <c r="L199" s="29"/>
      <c r="M199" s="29"/>
      <c r="N199" s="29"/>
      <c r="O199" s="29"/>
      <c r="P199" s="29"/>
      <c r="Q199" s="32"/>
      <c r="R199" s="29"/>
      <c r="S199" s="29"/>
      <c r="T199" s="33" t="str">
        <f aca="false">IF(AH199="Void – logged in error","",IF(OR(C199="",S199=""),IF(C199="","","Decide"),IF(OR(S199="Not reportable",S199="Over-3-day injury (record only)"),"No","Yes")))</f>
        <v/>
      </c>
      <c r="U199" s="34" t="str">
        <f aca="false">IF(OR(C199="",S199=""),"",IF(S199="Over-7-day injury",C199+15,IF(OR(S199="Death",S199="Specified injury",S199="Member of public to hospital",S199="Dangerous occurrence"),C199+10,"")))</f>
        <v/>
      </c>
      <c r="V199" s="28" t="str">
        <f aca="true">IF(C199="","",IF(AH199="Void – logged in error","Void",IF(W199&lt;&gt;"","Done – reported",IF(S199="Occupational disease","REPORT NOW – on diagnosis",IF(ISNUMBER(U199),IF(U199&lt;TODAY(),"OVERDUE – report now",IF(U199=TODAY(),"DUE TODAY",IF(U199-TODAY()&lt;='Start here'!$C$7,"DUE in "&amp;(U199-TODAY())&amp;" days",IF(OR(S199="Death",S199="Specified injury",S199="Member of public to hospital",S199="Dangerous occurrence"),"REPORT without delay","Report by date shown")))),IF(AND(N(Q199)&gt;7,OR(S199="",S199="Not reportable",S199="Over-3-day injury (record only)")),"CHECK – over 7 days off",IF(S199="","Decide RIDDOR",IF(S199="Over-3-day injury (record only)","Record only","Not reportable"))))))))</f>
        <v/>
      </c>
      <c r="W199" s="30"/>
      <c r="X199" s="29"/>
      <c r="Y199" s="32"/>
      <c r="Z199" s="29"/>
      <c r="AA199" s="35"/>
      <c r="AB199" s="29"/>
      <c r="AC199" s="29"/>
      <c r="AD199" s="29"/>
      <c r="AE199" s="29"/>
      <c r="AF199" s="29"/>
      <c r="AG199" s="30"/>
      <c r="AH199" s="29"/>
      <c r="AI199" s="36" t="str">
        <f aca="true">IF(OR(C199="",AH199="Closed",AH199="Void – logged in error",AG199=""),"",IF(AG199&lt;TODAY(),"OVERDUE",IF(AG199-TODAY()&lt;='Start here'!$C$8,"Due soon","On track")))</f>
        <v/>
      </c>
      <c r="AJ199" s="29"/>
      <c r="AK199" s="29"/>
      <c r="AL199" s="30"/>
      <c r="AM199" s="37" t="str">
        <f aca="false">IF(AND(C199&lt;&gt;"",AH199&lt;&gt;"Closed",AH199&lt;&gt;"Void – logged in error",OR(AH199&lt;&gt;"",AD199&lt;&gt;"",AE199&lt;&gt;"",AF199&lt;&gt;"",AG199&lt;&gt;"")),ROW(),"")</f>
        <v/>
      </c>
    </row>
    <row r="200" customFormat="false" ht="30" hidden="false" customHeight="true" outlineLevel="0" collapsed="false">
      <c r="A200" s="28" t="str">
        <f aca="false">IF(C200="","","INC-"&amp;YEAR(C200)&amp;"-"&amp;TEXT(COUNTIFS($C$6:C200,"&gt;="&amp;DATE(YEAR(C200),1,1),$C$6:C200,"&lt;="&amp;DATE(YEAR(C200),12,31)),"000"))</f>
        <v/>
      </c>
      <c r="B200" s="29"/>
      <c r="C200" s="30"/>
      <c r="D200" s="31"/>
      <c r="E200" s="30"/>
      <c r="F200" s="29"/>
      <c r="G200" s="29"/>
      <c r="H200" s="29"/>
      <c r="I200" s="29"/>
      <c r="J200" s="29"/>
      <c r="K200" s="29"/>
      <c r="L200" s="29"/>
      <c r="M200" s="29"/>
      <c r="N200" s="29"/>
      <c r="O200" s="29"/>
      <c r="P200" s="29"/>
      <c r="Q200" s="32"/>
      <c r="R200" s="29"/>
      <c r="S200" s="29"/>
      <c r="T200" s="33" t="str">
        <f aca="false">IF(AH200="Void – logged in error","",IF(OR(C200="",S200=""),IF(C200="","","Decide"),IF(OR(S200="Not reportable",S200="Over-3-day injury (record only)"),"No","Yes")))</f>
        <v/>
      </c>
      <c r="U200" s="34" t="str">
        <f aca="false">IF(OR(C200="",S200=""),"",IF(S200="Over-7-day injury",C200+15,IF(OR(S200="Death",S200="Specified injury",S200="Member of public to hospital",S200="Dangerous occurrence"),C200+10,"")))</f>
        <v/>
      </c>
      <c r="V200" s="28" t="str">
        <f aca="true">IF(C200="","",IF(AH200="Void – logged in error","Void",IF(W200&lt;&gt;"","Done – reported",IF(S200="Occupational disease","REPORT NOW – on diagnosis",IF(ISNUMBER(U200),IF(U200&lt;TODAY(),"OVERDUE – report now",IF(U200=TODAY(),"DUE TODAY",IF(U200-TODAY()&lt;='Start here'!$C$7,"DUE in "&amp;(U200-TODAY())&amp;" days",IF(OR(S200="Death",S200="Specified injury",S200="Member of public to hospital",S200="Dangerous occurrence"),"REPORT without delay","Report by date shown")))),IF(AND(N(Q200)&gt;7,OR(S200="",S200="Not reportable",S200="Over-3-day injury (record only)")),"CHECK – over 7 days off",IF(S200="","Decide RIDDOR",IF(S200="Over-3-day injury (record only)","Record only","Not reportable"))))))))</f>
        <v/>
      </c>
      <c r="W200" s="30"/>
      <c r="X200" s="29"/>
      <c r="Y200" s="32"/>
      <c r="Z200" s="29"/>
      <c r="AA200" s="35"/>
      <c r="AB200" s="29"/>
      <c r="AC200" s="29"/>
      <c r="AD200" s="29"/>
      <c r="AE200" s="29"/>
      <c r="AF200" s="29"/>
      <c r="AG200" s="30"/>
      <c r="AH200" s="29"/>
      <c r="AI200" s="36" t="str">
        <f aca="true">IF(OR(C200="",AH200="Closed",AH200="Void – logged in error",AG200=""),"",IF(AG200&lt;TODAY(),"OVERDUE",IF(AG200-TODAY()&lt;='Start here'!$C$8,"Due soon","On track")))</f>
        <v/>
      </c>
      <c r="AJ200" s="29"/>
      <c r="AK200" s="29"/>
      <c r="AL200" s="30"/>
      <c r="AM200" s="37" t="str">
        <f aca="false">IF(AND(C200&lt;&gt;"",AH200&lt;&gt;"Closed",AH200&lt;&gt;"Void – logged in error",OR(AH200&lt;&gt;"",AD200&lt;&gt;"",AE200&lt;&gt;"",AF200&lt;&gt;"",AG200&lt;&gt;"")),ROW(),"")</f>
        <v/>
      </c>
    </row>
    <row r="201" customFormat="false" ht="30" hidden="false" customHeight="true" outlineLevel="0" collapsed="false">
      <c r="A201" s="28" t="str">
        <f aca="false">IF(C201="","","INC-"&amp;YEAR(C201)&amp;"-"&amp;TEXT(COUNTIFS($C$6:C201,"&gt;="&amp;DATE(YEAR(C201),1,1),$C$6:C201,"&lt;="&amp;DATE(YEAR(C201),12,31)),"000"))</f>
        <v/>
      </c>
      <c r="B201" s="29"/>
      <c r="C201" s="30"/>
      <c r="D201" s="31"/>
      <c r="E201" s="30"/>
      <c r="F201" s="29"/>
      <c r="G201" s="29"/>
      <c r="H201" s="29"/>
      <c r="I201" s="29"/>
      <c r="J201" s="29"/>
      <c r="K201" s="29"/>
      <c r="L201" s="29"/>
      <c r="M201" s="29"/>
      <c r="N201" s="29"/>
      <c r="O201" s="29"/>
      <c r="P201" s="29"/>
      <c r="Q201" s="32"/>
      <c r="R201" s="29"/>
      <c r="S201" s="29"/>
      <c r="T201" s="33" t="str">
        <f aca="false">IF(AH201="Void – logged in error","",IF(OR(C201="",S201=""),IF(C201="","","Decide"),IF(OR(S201="Not reportable",S201="Over-3-day injury (record only)"),"No","Yes")))</f>
        <v/>
      </c>
      <c r="U201" s="34" t="str">
        <f aca="false">IF(OR(C201="",S201=""),"",IF(S201="Over-7-day injury",C201+15,IF(OR(S201="Death",S201="Specified injury",S201="Member of public to hospital",S201="Dangerous occurrence"),C201+10,"")))</f>
        <v/>
      </c>
      <c r="V201" s="28" t="str">
        <f aca="true">IF(C201="","",IF(AH201="Void – logged in error","Void",IF(W201&lt;&gt;"","Done – reported",IF(S201="Occupational disease","REPORT NOW – on diagnosis",IF(ISNUMBER(U201),IF(U201&lt;TODAY(),"OVERDUE – report now",IF(U201=TODAY(),"DUE TODAY",IF(U201-TODAY()&lt;='Start here'!$C$7,"DUE in "&amp;(U201-TODAY())&amp;" days",IF(OR(S201="Death",S201="Specified injury",S201="Member of public to hospital",S201="Dangerous occurrence"),"REPORT without delay","Report by date shown")))),IF(AND(N(Q201)&gt;7,OR(S201="",S201="Not reportable",S201="Over-3-day injury (record only)")),"CHECK – over 7 days off",IF(S201="","Decide RIDDOR",IF(S201="Over-3-day injury (record only)","Record only","Not reportable"))))))))</f>
        <v/>
      </c>
      <c r="W201" s="30"/>
      <c r="X201" s="29"/>
      <c r="Y201" s="32"/>
      <c r="Z201" s="29"/>
      <c r="AA201" s="35"/>
      <c r="AB201" s="29"/>
      <c r="AC201" s="29"/>
      <c r="AD201" s="29"/>
      <c r="AE201" s="29"/>
      <c r="AF201" s="29"/>
      <c r="AG201" s="30"/>
      <c r="AH201" s="29"/>
      <c r="AI201" s="36" t="str">
        <f aca="true">IF(OR(C201="",AH201="Closed",AH201="Void – logged in error",AG201=""),"",IF(AG201&lt;TODAY(),"OVERDUE",IF(AG201-TODAY()&lt;='Start here'!$C$8,"Due soon","On track")))</f>
        <v/>
      </c>
      <c r="AJ201" s="29"/>
      <c r="AK201" s="29"/>
      <c r="AL201" s="30"/>
      <c r="AM201" s="37" t="str">
        <f aca="false">IF(AND(C201&lt;&gt;"",AH201&lt;&gt;"Closed",AH201&lt;&gt;"Void – logged in error",OR(AH201&lt;&gt;"",AD201&lt;&gt;"",AE201&lt;&gt;"",AF201&lt;&gt;"",AG201&lt;&gt;"")),ROW(),"")</f>
        <v/>
      </c>
    </row>
    <row r="202" customFormat="false" ht="30" hidden="false" customHeight="true" outlineLevel="0" collapsed="false">
      <c r="A202" s="28" t="str">
        <f aca="false">IF(C202="","","INC-"&amp;YEAR(C202)&amp;"-"&amp;TEXT(COUNTIFS($C$6:C202,"&gt;="&amp;DATE(YEAR(C202),1,1),$C$6:C202,"&lt;="&amp;DATE(YEAR(C202),12,31)),"000"))</f>
        <v/>
      </c>
      <c r="B202" s="29"/>
      <c r="C202" s="30"/>
      <c r="D202" s="31"/>
      <c r="E202" s="30"/>
      <c r="F202" s="29"/>
      <c r="G202" s="29"/>
      <c r="H202" s="29"/>
      <c r="I202" s="29"/>
      <c r="J202" s="29"/>
      <c r="K202" s="29"/>
      <c r="L202" s="29"/>
      <c r="M202" s="29"/>
      <c r="N202" s="29"/>
      <c r="O202" s="29"/>
      <c r="P202" s="29"/>
      <c r="Q202" s="32"/>
      <c r="R202" s="29"/>
      <c r="S202" s="29"/>
      <c r="T202" s="33" t="str">
        <f aca="false">IF(AH202="Void – logged in error","",IF(OR(C202="",S202=""),IF(C202="","","Decide"),IF(OR(S202="Not reportable",S202="Over-3-day injury (record only)"),"No","Yes")))</f>
        <v/>
      </c>
      <c r="U202" s="34" t="str">
        <f aca="false">IF(OR(C202="",S202=""),"",IF(S202="Over-7-day injury",C202+15,IF(OR(S202="Death",S202="Specified injury",S202="Member of public to hospital",S202="Dangerous occurrence"),C202+10,"")))</f>
        <v/>
      </c>
      <c r="V202" s="28" t="str">
        <f aca="true">IF(C202="","",IF(AH202="Void – logged in error","Void",IF(W202&lt;&gt;"","Done – reported",IF(S202="Occupational disease","REPORT NOW – on diagnosis",IF(ISNUMBER(U202),IF(U202&lt;TODAY(),"OVERDUE – report now",IF(U202=TODAY(),"DUE TODAY",IF(U202-TODAY()&lt;='Start here'!$C$7,"DUE in "&amp;(U202-TODAY())&amp;" days",IF(OR(S202="Death",S202="Specified injury",S202="Member of public to hospital",S202="Dangerous occurrence"),"REPORT without delay","Report by date shown")))),IF(AND(N(Q202)&gt;7,OR(S202="",S202="Not reportable",S202="Over-3-day injury (record only)")),"CHECK – over 7 days off",IF(S202="","Decide RIDDOR",IF(S202="Over-3-day injury (record only)","Record only","Not reportable"))))))))</f>
        <v/>
      </c>
      <c r="W202" s="30"/>
      <c r="X202" s="29"/>
      <c r="Y202" s="32"/>
      <c r="Z202" s="29"/>
      <c r="AA202" s="35"/>
      <c r="AB202" s="29"/>
      <c r="AC202" s="29"/>
      <c r="AD202" s="29"/>
      <c r="AE202" s="29"/>
      <c r="AF202" s="29"/>
      <c r="AG202" s="30"/>
      <c r="AH202" s="29"/>
      <c r="AI202" s="36" t="str">
        <f aca="true">IF(OR(C202="",AH202="Closed",AH202="Void – logged in error",AG202=""),"",IF(AG202&lt;TODAY(),"OVERDUE",IF(AG202-TODAY()&lt;='Start here'!$C$8,"Due soon","On track")))</f>
        <v/>
      </c>
      <c r="AJ202" s="29"/>
      <c r="AK202" s="29"/>
      <c r="AL202" s="30"/>
      <c r="AM202" s="37" t="str">
        <f aca="false">IF(AND(C202&lt;&gt;"",AH202&lt;&gt;"Closed",AH202&lt;&gt;"Void – logged in error",OR(AH202&lt;&gt;"",AD202&lt;&gt;"",AE202&lt;&gt;"",AF202&lt;&gt;"",AG202&lt;&gt;"")),ROW(),"")</f>
        <v/>
      </c>
    </row>
    <row r="203" customFormat="false" ht="30" hidden="false" customHeight="true" outlineLevel="0" collapsed="false">
      <c r="A203" s="28" t="str">
        <f aca="false">IF(C203="","","INC-"&amp;YEAR(C203)&amp;"-"&amp;TEXT(COUNTIFS($C$6:C203,"&gt;="&amp;DATE(YEAR(C203),1,1),$C$6:C203,"&lt;="&amp;DATE(YEAR(C203),12,31)),"000"))</f>
        <v/>
      </c>
      <c r="B203" s="29"/>
      <c r="C203" s="30"/>
      <c r="D203" s="31"/>
      <c r="E203" s="30"/>
      <c r="F203" s="29"/>
      <c r="G203" s="29"/>
      <c r="H203" s="29"/>
      <c r="I203" s="29"/>
      <c r="J203" s="29"/>
      <c r="K203" s="29"/>
      <c r="L203" s="29"/>
      <c r="M203" s="29"/>
      <c r="N203" s="29"/>
      <c r="O203" s="29"/>
      <c r="P203" s="29"/>
      <c r="Q203" s="32"/>
      <c r="R203" s="29"/>
      <c r="S203" s="29"/>
      <c r="T203" s="33" t="str">
        <f aca="false">IF(AH203="Void – logged in error","",IF(OR(C203="",S203=""),IF(C203="","","Decide"),IF(OR(S203="Not reportable",S203="Over-3-day injury (record only)"),"No","Yes")))</f>
        <v/>
      </c>
      <c r="U203" s="34" t="str">
        <f aca="false">IF(OR(C203="",S203=""),"",IF(S203="Over-7-day injury",C203+15,IF(OR(S203="Death",S203="Specified injury",S203="Member of public to hospital",S203="Dangerous occurrence"),C203+10,"")))</f>
        <v/>
      </c>
      <c r="V203" s="28" t="str">
        <f aca="true">IF(C203="","",IF(AH203="Void – logged in error","Void",IF(W203&lt;&gt;"","Done – reported",IF(S203="Occupational disease","REPORT NOW – on diagnosis",IF(ISNUMBER(U203),IF(U203&lt;TODAY(),"OVERDUE – report now",IF(U203=TODAY(),"DUE TODAY",IF(U203-TODAY()&lt;='Start here'!$C$7,"DUE in "&amp;(U203-TODAY())&amp;" days",IF(OR(S203="Death",S203="Specified injury",S203="Member of public to hospital",S203="Dangerous occurrence"),"REPORT without delay","Report by date shown")))),IF(AND(N(Q203)&gt;7,OR(S203="",S203="Not reportable",S203="Over-3-day injury (record only)")),"CHECK – over 7 days off",IF(S203="","Decide RIDDOR",IF(S203="Over-3-day injury (record only)","Record only","Not reportable"))))))))</f>
        <v/>
      </c>
      <c r="W203" s="30"/>
      <c r="X203" s="29"/>
      <c r="Y203" s="32"/>
      <c r="Z203" s="29"/>
      <c r="AA203" s="35"/>
      <c r="AB203" s="29"/>
      <c r="AC203" s="29"/>
      <c r="AD203" s="29"/>
      <c r="AE203" s="29"/>
      <c r="AF203" s="29"/>
      <c r="AG203" s="30"/>
      <c r="AH203" s="29"/>
      <c r="AI203" s="36" t="str">
        <f aca="true">IF(OR(C203="",AH203="Closed",AH203="Void – logged in error",AG203=""),"",IF(AG203&lt;TODAY(),"OVERDUE",IF(AG203-TODAY()&lt;='Start here'!$C$8,"Due soon","On track")))</f>
        <v/>
      </c>
      <c r="AJ203" s="29"/>
      <c r="AK203" s="29"/>
      <c r="AL203" s="30"/>
      <c r="AM203" s="37" t="str">
        <f aca="false">IF(AND(C203&lt;&gt;"",AH203&lt;&gt;"Closed",AH203&lt;&gt;"Void – logged in error",OR(AH203&lt;&gt;"",AD203&lt;&gt;"",AE203&lt;&gt;"",AF203&lt;&gt;"",AG203&lt;&gt;"")),ROW(),"")</f>
        <v/>
      </c>
    </row>
    <row r="204" customFormat="false" ht="30" hidden="false" customHeight="true" outlineLevel="0" collapsed="false">
      <c r="A204" s="28" t="str">
        <f aca="false">IF(C204="","","INC-"&amp;YEAR(C204)&amp;"-"&amp;TEXT(COUNTIFS($C$6:C204,"&gt;="&amp;DATE(YEAR(C204),1,1),$C$6:C204,"&lt;="&amp;DATE(YEAR(C204),12,31)),"000"))</f>
        <v/>
      </c>
      <c r="B204" s="29"/>
      <c r="C204" s="30"/>
      <c r="D204" s="31"/>
      <c r="E204" s="30"/>
      <c r="F204" s="29"/>
      <c r="G204" s="29"/>
      <c r="H204" s="29"/>
      <c r="I204" s="29"/>
      <c r="J204" s="29"/>
      <c r="K204" s="29"/>
      <c r="L204" s="29"/>
      <c r="M204" s="29"/>
      <c r="N204" s="29"/>
      <c r="O204" s="29"/>
      <c r="P204" s="29"/>
      <c r="Q204" s="32"/>
      <c r="R204" s="29"/>
      <c r="S204" s="29"/>
      <c r="T204" s="33" t="str">
        <f aca="false">IF(AH204="Void – logged in error","",IF(OR(C204="",S204=""),IF(C204="","","Decide"),IF(OR(S204="Not reportable",S204="Over-3-day injury (record only)"),"No","Yes")))</f>
        <v/>
      </c>
      <c r="U204" s="34" t="str">
        <f aca="false">IF(OR(C204="",S204=""),"",IF(S204="Over-7-day injury",C204+15,IF(OR(S204="Death",S204="Specified injury",S204="Member of public to hospital",S204="Dangerous occurrence"),C204+10,"")))</f>
        <v/>
      </c>
      <c r="V204" s="28" t="str">
        <f aca="true">IF(C204="","",IF(AH204="Void – logged in error","Void",IF(W204&lt;&gt;"","Done – reported",IF(S204="Occupational disease","REPORT NOW – on diagnosis",IF(ISNUMBER(U204),IF(U204&lt;TODAY(),"OVERDUE – report now",IF(U204=TODAY(),"DUE TODAY",IF(U204-TODAY()&lt;='Start here'!$C$7,"DUE in "&amp;(U204-TODAY())&amp;" days",IF(OR(S204="Death",S204="Specified injury",S204="Member of public to hospital",S204="Dangerous occurrence"),"REPORT without delay","Report by date shown")))),IF(AND(N(Q204)&gt;7,OR(S204="",S204="Not reportable",S204="Over-3-day injury (record only)")),"CHECK – over 7 days off",IF(S204="","Decide RIDDOR",IF(S204="Over-3-day injury (record only)","Record only","Not reportable"))))))))</f>
        <v/>
      </c>
      <c r="W204" s="30"/>
      <c r="X204" s="29"/>
      <c r="Y204" s="32"/>
      <c r="Z204" s="29"/>
      <c r="AA204" s="35"/>
      <c r="AB204" s="29"/>
      <c r="AC204" s="29"/>
      <c r="AD204" s="29"/>
      <c r="AE204" s="29"/>
      <c r="AF204" s="29"/>
      <c r="AG204" s="30"/>
      <c r="AH204" s="29"/>
      <c r="AI204" s="36" t="str">
        <f aca="true">IF(OR(C204="",AH204="Closed",AH204="Void – logged in error",AG204=""),"",IF(AG204&lt;TODAY(),"OVERDUE",IF(AG204-TODAY()&lt;='Start here'!$C$8,"Due soon","On track")))</f>
        <v/>
      </c>
      <c r="AJ204" s="29"/>
      <c r="AK204" s="29"/>
      <c r="AL204" s="30"/>
      <c r="AM204" s="37" t="str">
        <f aca="false">IF(AND(C204&lt;&gt;"",AH204&lt;&gt;"Closed",AH204&lt;&gt;"Void – logged in error",OR(AH204&lt;&gt;"",AD204&lt;&gt;"",AE204&lt;&gt;"",AF204&lt;&gt;"",AG204&lt;&gt;"")),ROW(),"")</f>
        <v/>
      </c>
    </row>
    <row r="205" customFormat="false" ht="30" hidden="false" customHeight="true" outlineLevel="0" collapsed="false">
      <c r="A205" s="28" t="str">
        <f aca="false">IF(C205="","","INC-"&amp;YEAR(C205)&amp;"-"&amp;TEXT(COUNTIFS($C$6:C205,"&gt;="&amp;DATE(YEAR(C205),1,1),$C$6:C205,"&lt;="&amp;DATE(YEAR(C205),12,31)),"000"))</f>
        <v/>
      </c>
      <c r="B205" s="29"/>
      <c r="C205" s="30"/>
      <c r="D205" s="31"/>
      <c r="E205" s="30"/>
      <c r="F205" s="29"/>
      <c r="G205" s="29"/>
      <c r="H205" s="29"/>
      <c r="I205" s="29"/>
      <c r="J205" s="29"/>
      <c r="K205" s="29"/>
      <c r="L205" s="29"/>
      <c r="M205" s="29"/>
      <c r="N205" s="29"/>
      <c r="O205" s="29"/>
      <c r="P205" s="29"/>
      <c r="Q205" s="32"/>
      <c r="R205" s="29"/>
      <c r="S205" s="29"/>
      <c r="T205" s="33" t="str">
        <f aca="false">IF(AH205="Void – logged in error","",IF(OR(C205="",S205=""),IF(C205="","","Decide"),IF(OR(S205="Not reportable",S205="Over-3-day injury (record only)"),"No","Yes")))</f>
        <v/>
      </c>
      <c r="U205" s="34" t="str">
        <f aca="false">IF(OR(C205="",S205=""),"",IF(S205="Over-7-day injury",C205+15,IF(OR(S205="Death",S205="Specified injury",S205="Member of public to hospital",S205="Dangerous occurrence"),C205+10,"")))</f>
        <v/>
      </c>
      <c r="V205" s="28" t="str">
        <f aca="true">IF(C205="","",IF(AH205="Void – logged in error","Void",IF(W205&lt;&gt;"","Done – reported",IF(S205="Occupational disease","REPORT NOW – on diagnosis",IF(ISNUMBER(U205),IF(U205&lt;TODAY(),"OVERDUE – report now",IF(U205=TODAY(),"DUE TODAY",IF(U205-TODAY()&lt;='Start here'!$C$7,"DUE in "&amp;(U205-TODAY())&amp;" days",IF(OR(S205="Death",S205="Specified injury",S205="Member of public to hospital",S205="Dangerous occurrence"),"REPORT without delay","Report by date shown")))),IF(AND(N(Q205)&gt;7,OR(S205="",S205="Not reportable",S205="Over-3-day injury (record only)")),"CHECK – over 7 days off",IF(S205="","Decide RIDDOR",IF(S205="Over-3-day injury (record only)","Record only","Not reportable"))))))))</f>
        <v/>
      </c>
      <c r="W205" s="30"/>
      <c r="X205" s="29"/>
      <c r="Y205" s="32"/>
      <c r="Z205" s="29"/>
      <c r="AA205" s="35"/>
      <c r="AB205" s="29"/>
      <c r="AC205" s="29"/>
      <c r="AD205" s="29"/>
      <c r="AE205" s="29"/>
      <c r="AF205" s="29"/>
      <c r="AG205" s="30"/>
      <c r="AH205" s="29"/>
      <c r="AI205" s="36" t="str">
        <f aca="true">IF(OR(C205="",AH205="Closed",AH205="Void – logged in error",AG205=""),"",IF(AG205&lt;TODAY(),"OVERDUE",IF(AG205-TODAY()&lt;='Start here'!$C$8,"Due soon","On track")))</f>
        <v/>
      </c>
      <c r="AJ205" s="29"/>
      <c r="AK205" s="29"/>
      <c r="AL205" s="30"/>
      <c r="AM205" s="37" t="str">
        <f aca="false">IF(AND(C205&lt;&gt;"",AH205&lt;&gt;"Closed",AH205&lt;&gt;"Void – logged in error",OR(AH205&lt;&gt;"",AD205&lt;&gt;"",AE205&lt;&gt;"",AF205&lt;&gt;"",AG205&lt;&gt;"")),ROW(),"")</f>
        <v/>
      </c>
    </row>
    <row r="206" customFormat="false" ht="30" hidden="false" customHeight="true" outlineLevel="0" collapsed="false">
      <c r="A206" s="28" t="str">
        <f aca="false">IF(C206="","","INC-"&amp;YEAR(C206)&amp;"-"&amp;TEXT(COUNTIFS($C$6:C206,"&gt;="&amp;DATE(YEAR(C206),1,1),$C$6:C206,"&lt;="&amp;DATE(YEAR(C206),12,31)),"000"))</f>
        <v/>
      </c>
      <c r="B206" s="29"/>
      <c r="C206" s="30"/>
      <c r="D206" s="31"/>
      <c r="E206" s="30"/>
      <c r="F206" s="29"/>
      <c r="G206" s="29"/>
      <c r="H206" s="29"/>
      <c r="I206" s="29"/>
      <c r="J206" s="29"/>
      <c r="K206" s="29"/>
      <c r="L206" s="29"/>
      <c r="M206" s="29"/>
      <c r="N206" s="29"/>
      <c r="O206" s="29"/>
      <c r="P206" s="29"/>
      <c r="Q206" s="32"/>
      <c r="R206" s="29"/>
      <c r="S206" s="29"/>
      <c r="T206" s="33" t="str">
        <f aca="false">IF(AH206="Void – logged in error","",IF(OR(C206="",S206=""),IF(C206="","","Decide"),IF(OR(S206="Not reportable",S206="Over-3-day injury (record only)"),"No","Yes")))</f>
        <v/>
      </c>
      <c r="U206" s="34" t="str">
        <f aca="false">IF(OR(C206="",S206=""),"",IF(S206="Over-7-day injury",C206+15,IF(OR(S206="Death",S206="Specified injury",S206="Member of public to hospital",S206="Dangerous occurrence"),C206+10,"")))</f>
        <v/>
      </c>
      <c r="V206" s="28" t="str">
        <f aca="true">IF(C206="","",IF(AH206="Void – logged in error","Void",IF(W206&lt;&gt;"","Done – reported",IF(S206="Occupational disease","REPORT NOW – on diagnosis",IF(ISNUMBER(U206),IF(U206&lt;TODAY(),"OVERDUE – report now",IF(U206=TODAY(),"DUE TODAY",IF(U206-TODAY()&lt;='Start here'!$C$7,"DUE in "&amp;(U206-TODAY())&amp;" days",IF(OR(S206="Death",S206="Specified injury",S206="Member of public to hospital",S206="Dangerous occurrence"),"REPORT without delay","Report by date shown")))),IF(AND(N(Q206)&gt;7,OR(S206="",S206="Not reportable",S206="Over-3-day injury (record only)")),"CHECK – over 7 days off",IF(S206="","Decide RIDDOR",IF(S206="Over-3-day injury (record only)","Record only","Not reportable"))))))))</f>
        <v/>
      </c>
      <c r="W206" s="30"/>
      <c r="X206" s="29"/>
      <c r="Y206" s="32"/>
      <c r="Z206" s="29"/>
      <c r="AA206" s="35"/>
      <c r="AB206" s="29"/>
      <c r="AC206" s="29"/>
      <c r="AD206" s="29"/>
      <c r="AE206" s="29"/>
      <c r="AF206" s="29"/>
      <c r="AG206" s="30"/>
      <c r="AH206" s="29"/>
      <c r="AI206" s="36" t="str">
        <f aca="true">IF(OR(C206="",AH206="Closed",AH206="Void – logged in error",AG206=""),"",IF(AG206&lt;TODAY(),"OVERDUE",IF(AG206-TODAY()&lt;='Start here'!$C$8,"Due soon","On track")))</f>
        <v/>
      </c>
      <c r="AJ206" s="29"/>
      <c r="AK206" s="29"/>
      <c r="AL206" s="30"/>
      <c r="AM206" s="37" t="str">
        <f aca="false">IF(AND(C206&lt;&gt;"",AH206&lt;&gt;"Closed",AH206&lt;&gt;"Void – logged in error",OR(AH206&lt;&gt;"",AD206&lt;&gt;"",AE206&lt;&gt;"",AF206&lt;&gt;"",AG206&lt;&gt;"")),ROW(),"")</f>
        <v/>
      </c>
    </row>
    <row r="207" customFormat="false" ht="30" hidden="false" customHeight="true" outlineLevel="0" collapsed="false">
      <c r="A207" s="28" t="str">
        <f aca="false">IF(C207="","","INC-"&amp;YEAR(C207)&amp;"-"&amp;TEXT(COUNTIFS($C$6:C207,"&gt;="&amp;DATE(YEAR(C207),1,1),$C$6:C207,"&lt;="&amp;DATE(YEAR(C207),12,31)),"000"))</f>
        <v/>
      </c>
      <c r="B207" s="29"/>
      <c r="C207" s="30"/>
      <c r="D207" s="31"/>
      <c r="E207" s="30"/>
      <c r="F207" s="29"/>
      <c r="G207" s="29"/>
      <c r="H207" s="29"/>
      <c r="I207" s="29"/>
      <c r="J207" s="29"/>
      <c r="K207" s="29"/>
      <c r="L207" s="29"/>
      <c r="M207" s="29"/>
      <c r="N207" s="29"/>
      <c r="O207" s="29"/>
      <c r="P207" s="29"/>
      <c r="Q207" s="32"/>
      <c r="R207" s="29"/>
      <c r="S207" s="29"/>
      <c r="T207" s="33" t="str">
        <f aca="false">IF(AH207="Void – logged in error","",IF(OR(C207="",S207=""),IF(C207="","","Decide"),IF(OR(S207="Not reportable",S207="Over-3-day injury (record only)"),"No","Yes")))</f>
        <v/>
      </c>
      <c r="U207" s="34" t="str">
        <f aca="false">IF(OR(C207="",S207=""),"",IF(S207="Over-7-day injury",C207+15,IF(OR(S207="Death",S207="Specified injury",S207="Member of public to hospital",S207="Dangerous occurrence"),C207+10,"")))</f>
        <v/>
      </c>
      <c r="V207" s="28" t="str">
        <f aca="true">IF(C207="","",IF(AH207="Void – logged in error","Void",IF(W207&lt;&gt;"","Done – reported",IF(S207="Occupational disease","REPORT NOW – on diagnosis",IF(ISNUMBER(U207),IF(U207&lt;TODAY(),"OVERDUE – report now",IF(U207=TODAY(),"DUE TODAY",IF(U207-TODAY()&lt;='Start here'!$C$7,"DUE in "&amp;(U207-TODAY())&amp;" days",IF(OR(S207="Death",S207="Specified injury",S207="Member of public to hospital",S207="Dangerous occurrence"),"REPORT without delay","Report by date shown")))),IF(AND(N(Q207)&gt;7,OR(S207="",S207="Not reportable",S207="Over-3-day injury (record only)")),"CHECK – over 7 days off",IF(S207="","Decide RIDDOR",IF(S207="Over-3-day injury (record only)","Record only","Not reportable"))))))))</f>
        <v/>
      </c>
      <c r="W207" s="30"/>
      <c r="X207" s="29"/>
      <c r="Y207" s="32"/>
      <c r="Z207" s="29"/>
      <c r="AA207" s="35"/>
      <c r="AB207" s="29"/>
      <c r="AC207" s="29"/>
      <c r="AD207" s="29"/>
      <c r="AE207" s="29"/>
      <c r="AF207" s="29"/>
      <c r="AG207" s="30"/>
      <c r="AH207" s="29"/>
      <c r="AI207" s="36" t="str">
        <f aca="true">IF(OR(C207="",AH207="Closed",AH207="Void – logged in error",AG207=""),"",IF(AG207&lt;TODAY(),"OVERDUE",IF(AG207-TODAY()&lt;='Start here'!$C$8,"Due soon","On track")))</f>
        <v/>
      </c>
      <c r="AJ207" s="29"/>
      <c r="AK207" s="29"/>
      <c r="AL207" s="30"/>
      <c r="AM207" s="37" t="str">
        <f aca="false">IF(AND(C207&lt;&gt;"",AH207&lt;&gt;"Closed",AH207&lt;&gt;"Void – logged in error",OR(AH207&lt;&gt;"",AD207&lt;&gt;"",AE207&lt;&gt;"",AF207&lt;&gt;"",AG207&lt;&gt;"")),ROW(),"")</f>
        <v/>
      </c>
    </row>
    <row r="208" customFormat="false" ht="30" hidden="false" customHeight="true" outlineLevel="0" collapsed="false">
      <c r="A208" s="28" t="str">
        <f aca="false">IF(C208="","","INC-"&amp;YEAR(C208)&amp;"-"&amp;TEXT(COUNTIFS($C$6:C208,"&gt;="&amp;DATE(YEAR(C208),1,1),$C$6:C208,"&lt;="&amp;DATE(YEAR(C208),12,31)),"000"))</f>
        <v/>
      </c>
      <c r="B208" s="29"/>
      <c r="C208" s="30"/>
      <c r="D208" s="31"/>
      <c r="E208" s="30"/>
      <c r="F208" s="29"/>
      <c r="G208" s="29"/>
      <c r="H208" s="29"/>
      <c r="I208" s="29"/>
      <c r="J208" s="29"/>
      <c r="K208" s="29"/>
      <c r="L208" s="29"/>
      <c r="M208" s="29"/>
      <c r="N208" s="29"/>
      <c r="O208" s="29"/>
      <c r="P208" s="29"/>
      <c r="Q208" s="32"/>
      <c r="R208" s="29"/>
      <c r="S208" s="29"/>
      <c r="T208" s="33" t="str">
        <f aca="false">IF(AH208="Void – logged in error","",IF(OR(C208="",S208=""),IF(C208="","","Decide"),IF(OR(S208="Not reportable",S208="Over-3-day injury (record only)"),"No","Yes")))</f>
        <v/>
      </c>
      <c r="U208" s="34" t="str">
        <f aca="false">IF(OR(C208="",S208=""),"",IF(S208="Over-7-day injury",C208+15,IF(OR(S208="Death",S208="Specified injury",S208="Member of public to hospital",S208="Dangerous occurrence"),C208+10,"")))</f>
        <v/>
      </c>
      <c r="V208" s="28" t="str">
        <f aca="true">IF(C208="","",IF(AH208="Void – logged in error","Void",IF(W208&lt;&gt;"","Done – reported",IF(S208="Occupational disease","REPORT NOW – on diagnosis",IF(ISNUMBER(U208),IF(U208&lt;TODAY(),"OVERDUE – report now",IF(U208=TODAY(),"DUE TODAY",IF(U208-TODAY()&lt;='Start here'!$C$7,"DUE in "&amp;(U208-TODAY())&amp;" days",IF(OR(S208="Death",S208="Specified injury",S208="Member of public to hospital",S208="Dangerous occurrence"),"REPORT without delay","Report by date shown")))),IF(AND(N(Q208)&gt;7,OR(S208="",S208="Not reportable",S208="Over-3-day injury (record only)")),"CHECK – over 7 days off",IF(S208="","Decide RIDDOR",IF(S208="Over-3-day injury (record only)","Record only","Not reportable"))))))))</f>
        <v/>
      </c>
      <c r="W208" s="30"/>
      <c r="X208" s="29"/>
      <c r="Y208" s="32"/>
      <c r="Z208" s="29"/>
      <c r="AA208" s="35"/>
      <c r="AB208" s="29"/>
      <c r="AC208" s="29"/>
      <c r="AD208" s="29"/>
      <c r="AE208" s="29"/>
      <c r="AF208" s="29"/>
      <c r="AG208" s="30"/>
      <c r="AH208" s="29"/>
      <c r="AI208" s="36" t="str">
        <f aca="true">IF(OR(C208="",AH208="Closed",AH208="Void – logged in error",AG208=""),"",IF(AG208&lt;TODAY(),"OVERDUE",IF(AG208-TODAY()&lt;='Start here'!$C$8,"Due soon","On track")))</f>
        <v/>
      </c>
      <c r="AJ208" s="29"/>
      <c r="AK208" s="29"/>
      <c r="AL208" s="30"/>
      <c r="AM208" s="37" t="str">
        <f aca="false">IF(AND(C208&lt;&gt;"",AH208&lt;&gt;"Closed",AH208&lt;&gt;"Void – logged in error",OR(AH208&lt;&gt;"",AD208&lt;&gt;"",AE208&lt;&gt;"",AF208&lt;&gt;"",AG208&lt;&gt;"")),ROW(),"")</f>
        <v/>
      </c>
    </row>
    <row r="209" customFormat="false" ht="30" hidden="false" customHeight="true" outlineLevel="0" collapsed="false">
      <c r="A209" s="28" t="str">
        <f aca="false">IF(C209="","","INC-"&amp;YEAR(C209)&amp;"-"&amp;TEXT(COUNTIFS($C$6:C209,"&gt;="&amp;DATE(YEAR(C209),1,1),$C$6:C209,"&lt;="&amp;DATE(YEAR(C209),12,31)),"000"))</f>
        <v/>
      </c>
      <c r="B209" s="29"/>
      <c r="C209" s="30"/>
      <c r="D209" s="31"/>
      <c r="E209" s="30"/>
      <c r="F209" s="29"/>
      <c r="G209" s="29"/>
      <c r="H209" s="29"/>
      <c r="I209" s="29"/>
      <c r="J209" s="29"/>
      <c r="K209" s="29"/>
      <c r="L209" s="29"/>
      <c r="M209" s="29"/>
      <c r="N209" s="29"/>
      <c r="O209" s="29"/>
      <c r="P209" s="29"/>
      <c r="Q209" s="32"/>
      <c r="R209" s="29"/>
      <c r="S209" s="29"/>
      <c r="T209" s="33" t="str">
        <f aca="false">IF(AH209="Void – logged in error","",IF(OR(C209="",S209=""),IF(C209="","","Decide"),IF(OR(S209="Not reportable",S209="Over-3-day injury (record only)"),"No","Yes")))</f>
        <v/>
      </c>
      <c r="U209" s="34" t="str">
        <f aca="false">IF(OR(C209="",S209=""),"",IF(S209="Over-7-day injury",C209+15,IF(OR(S209="Death",S209="Specified injury",S209="Member of public to hospital",S209="Dangerous occurrence"),C209+10,"")))</f>
        <v/>
      </c>
      <c r="V209" s="28" t="str">
        <f aca="true">IF(C209="","",IF(AH209="Void – logged in error","Void",IF(W209&lt;&gt;"","Done – reported",IF(S209="Occupational disease","REPORT NOW – on diagnosis",IF(ISNUMBER(U209),IF(U209&lt;TODAY(),"OVERDUE – report now",IF(U209=TODAY(),"DUE TODAY",IF(U209-TODAY()&lt;='Start here'!$C$7,"DUE in "&amp;(U209-TODAY())&amp;" days",IF(OR(S209="Death",S209="Specified injury",S209="Member of public to hospital",S209="Dangerous occurrence"),"REPORT without delay","Report by date shown")))),IF(AND(N(Q209)&gt;7,OR(S209="",S209="Not reportable",S209="Over-3-day injury (record only)")),"CHECK – over 7 days off",IF(S209="","Decide RIDDOR",IF(S209="Over-3-day injury (record only)","Record only","Not reportable"))))))))</f>
        <v/>
      </c>
      <c r="W209" s="30"/>
      <c r="X209" s="29"/>
      <c r="Y209" s="32"/>
      <c r="Z209" s="29"/>
      <c r="AA209" s="35"/>
      <c r="AB209" s="29"/>
      <c r="AC209" s="29"/>
      <c r="AD209" s="29"/>
      <c r="AE209" s="29"/>
      <c r="AF209" s="29"/>
      <c r="AG209" s="30"/>
      <c r="AH209" s="29"/>
      <c r="AI209" s="36" t="str">
        <f aca="true">IF(OR(C209="",AH209="Closed",AH209="Void – logged in error",AG209=""),"",IF(AG209&lt;TODAY(),"OVERDUE",IF(AG209-TODAY()&lt;='Start here'!$C$8,"Due soon","On track")))</f>
        <v/>
      </c>
      <c r="AJ209" s="29"/>
      <c r="AK209" s="29"/>
      <c r="AL209" s="30"/>
      <c r="AM209" s="37" t="str">
        <f aca="false">IF(AND(C209&lt;&gt;"",AH209&lt;&gt;"Closed",AH209&lt;&gt;"Void – logged in error",OR(AH209&lt;&gt;"",AD209&lt;&gt;"",AE209&lt;&gt;"",AF209&lt;&gt;"",AG209&lt;&gt;"")),ROW(),"")</f>
        <v/>
      </c>
    </row>
    <row r="210" customFormat="false" ht="30" hidden="false" customHeight="true" outlineLevel="0" collapsed="false">
      <c r="A210" s="28" t="str">
        <f aca="false">IF(C210="","","INC-"&amp;YEAR(C210)&amp;"-"&amp;TEXT(COUNTIFS($C$6:C210,"&gt;="&amp;DATE(YEAR(C210),1,1),$C$6:C210,"&lt;="&amp;DATE(YEAR(C210),12,31)),"000"))</f>
        <v/>
      </c>
      <c r="B210" s="29"/>
      <c r="C210" s="30"/>
      <c r="D210" s="31"/>
      <c r="E210" s="30"/>
      <c r="F210" s="29"/>
      <c r="G210" s="29"/>
      <c r="H210" s="29"/>
      <c r="I210" s="29"/>
      <c r="J210" s="29"/>
      <c r="K210" s="29"/>
      <c r="L210" s="29"/>
      <c r="M210" s="29"/>
      <c r="N210" s="29"/>
      <c r="O210" s="29"/>
      <c r="P210" s="29"/>
      <c r="Q210" s="32"/>
      <c r="R210" s="29"/>
      <c r="S210" s="29"/>
      <c r="T210" s="33" t="str">
        <f aca="false">IF(AH210="Void – logged in error","",IF(OR(C210="",S210=""),IF(C210="","","Decide"),IF(OR(S210="Not reportable",S210="Over-3-day injury (record only)"),"No","Yes")))</f>
        <v/>
      </c>
      <c r="U210" s="34" t="str">
        <f aca="false">IF(OR(C210="",S210=""),"",IF(S210="Over-7-day injury",C210+15,IF(OR(S210="Death",S210="Specified injury",S210="Member of public to hospital",S210="Dangerous occurrence"),C210+10,"")))</f>
        <v/>
      </c>
      <c r="V210" s="28" t="str">
        <f aca="true">IF(C210="","",IF(AH210="Void – logged in error","Void",IF(W210&lt;&gt;"","Done – reported",IF(S210="Occupational disease","REPORT NOW – on diagnosis",IF(ISNUMBER(U210),IF(U210&lt;TODAY(),"OVERDUE – report now",IF(U210=TODAY(),"DUE TODAY",IF(U210-TODAY()&lt;='Start here'!$C$7,"DUE in "&amp;(U210-TODAY())&amp;" days",IF(OR(S210="Death",S210="Specified injury",S210="Member of public to hospital",S210="Dangerous occurrence"),"REPORT without delay","Report by date shown")))),IF(AND(N(Q210)&gt;7,OR(S210="",S210="Not reportable",S210="Over-3-day injury (record only)")),"CHECK – over 7 days off",IF(S210="","Decide RIDDOR",IF(S210="Over-3-day injury (record only)","Record only","Not reportable"))))))))</f>
        <v/>
      </c>
      <c r="W210" s="30"/>
      <c r="X210" s="29"/>
      <c r="Y210" s="32"/>
      <c r="Z210" s="29"/>
      <c r="AA210" s="35"/>
      <c r="AB210" s="29"/>
      <c r="AC210" s="29"/>
      <c r="AD210" s="29"/>
      <c r="AE210" s="29"/>
      <c r="AF210" s="29"/>
      <c r="AG210" s="30"/>
      <c r="AH210" s="29"/>
      <c r="AI210" s="36" t="str">
        <f aca="true">IF(OR(C210="",AH210="Closed",AH210="Void – logged in error",AG210=""),"",IF(AG210&lt;TODAY(),"OVERDUE",IF(AG210-TODAY()&lt;='Start here'!$C$8,"Due soon","On track")))</f>
        <v/>
      </c>
      <c r="AJ210" s="29"/>
      <c r="AK210" s="29"/>
      <c r="AL210" s="30"/>
      <c r="AM210" s="37" t="str">
        <f aca="false">IF(AND(C210&lt;&gt;"",AH210&lt;&gt;"Closed",AH210&lt;&gt;"Void – logged in error",OR(AH210&lt;&gt;"",AD210&lt;&gt;"",AE210&lt;&gt;"",AF210&lt;&gt;"",AG210&lt;&gt;"")),ROW(),"")</f>
        <v/>
      </c>
    </row>
    <row r="211" customFormat="false" ht="30" hidden="false" customHeight="true" outlineLevel="0" collapsed="false">
      <c r="A211" s="28" t="str">
        <f aca="false">IF(C211="","","INC-"&amp;YEAR(C211)&amp;"-"&amp;TEXT(COUNTIFS($C$6:C211,"&gt;="&amp;DATE(YEAR(C211),1,1),$C$6:C211,"&lt;="&amp;DATE(YEAR(C211),12,31)),"000"))</f>
        <v/>
      </c>
      <c r="B211" s="29"/>
      <c r="C211" s="30"/>
      <c r="D211" s="31"/>
      <c r="E211" s="30"/>
      <c r="F211" s="29"/>
      <c r="G211" s="29"/>
      <c r="H211" s="29"/>
      <c r="I211" s="29"/>
      <c r="J211" s="29"/>
      <c r="K211" s="29"/>
      <c r="L211" s="29"/>
      <c r="M211" s="29"/>
      <c r="N211" s="29"/>
      <c r="O211" s="29"/>
      <c r="P211" s="29"/>
      <c r="Q211" s="32"/>
      <c r="R211" s="29"/>
      <c r="S211" s="29"/>
      <c r="T211" s="33" t="str">
        <f aca="false">IF(AH211="Void – logged in error","",IF(OR(C211="",S211=""),IF(C211="","","Decide"),IF(OR(S211="Not reportable",S211="Over-3-day injury (record only)"),"No","Yes")))</f>
        <v/>
      </c>
      <c r="U211" s="34" t="str">
        <f aca="false">IF(OR(C211="",S211=""),"",IF(S211="Over-7-day injury",C211+15,IF(OR(S211="Death",S211="Specified injury",S211="Member of public to hospital",S211="Dangerous occurrence"),C211+10,"")))</f>
        <v/>
      </c>
      <c r="V211" s="28" t="str">
        <f aca="true">IF(C211="","",IF(AH211="Void – logged in error","Void",IF(W211&lt;&gt;"","Done – reported",IF(S211="Occupational disease","REPORT NOW – on diagnosis",IF(ISNUMBER(U211),IF(U211&lt;TODAY(),"OVERDUE – report now",IF(U211=TODAY(),"DUE TODAY",IF(U211-TODAY()&lt;='Start here'!$C$7,"DUE in "&amp;(U211-TODAY())&amp;" days",IF(OR(S211="Death",S211="Specified injury",S211="Member of public to hospital",S211="Dangerous occurrence"),"REPORT without delay","Report by date shown")))),IF(AND(N(Q211)&gt;7,OR(S211="",S211="Not reportable",S211="Over-3-day injury (record only)")),"CHECK – over 7 days off",IF(S211="","Decide RIDDOR",IF(S211="Over-3-day injury (record only)","Record only","Not reportable"))))))))</f>
        <v/>
      </c>
      <c r="W211" s="30"/>
      <c r="X211" s="29"/>
      <c r="Y211" s="32"/>
      <c r="Z211" s="29"/>
      <c r="AA211" s="35"/>
      <c r="AB211" s="29"/>
      <c r="AC211" s="29"/>
      <c r="AD211" s="29"/>
      <c r="AE211" s="29"/>
      <c r="AF211" s="29"/>
      <c r="AG211" s="30"/>
      <c r="AH211" s="29"/>
      <c r="AI211" s="36" t="str">
        <f aca="true">IF(OR(C211="",AH211="Closed",AH211="Void – logged in error",AG211=""),"",IF(AG211&lt;TODAY(),"OVERDUE",IF(AG211-TODAY()&lt;='Start here'!$C$8,"Due soon","On track")))</f>
        <v/>
      </c>
      <c r="AJ211" s="29"/>
      <c r="AK211" s="29"/>
      <c r="AL211" s="30"/>
      <c r="AM211" s="37" t="str">
        <f aca="false">IF(AND(C211&lt;&gt;"",AH211&lt;&gt;"Closed",AH211&lt;&gt;"Void – logged in error",OR(AH211&lt;&gt;"",AD211&lt;&gt;"",AE211&lt;&gt;"",AF211&lt;&gt;"",AG211&lt;&gt;"")),ROW(),"")</f>
        <v/>
      </c>
    </row>
    <row r="212" customFormat="false" ht="30" hidden="false" customHeight="true" outlineLevel="0" collapsed="false">
      <c r="A212" s="28" t="str">
        <f aca="false">IF(C212="","","INC-"&amp;YEAR(C212)&amp;"-"&amp;TEXT(COUNTIFS($C$6:C212,"&gt;="&amp;DATE(YEAR(C212),1,1),$C$6:C212,"&lt;="&amp;DATE(YEAR(C212),12,31)),"000"))</f>
        <v/>
      </c>
      <c r="B212" s="29"/>
      <c r="C212" s="30"/>
      <c r="D212" s="31"/>
      <c r="E212" s="30"/>
      <c r="F212" s="29"/>
      <c r="G212" s="29"/>
      <c r="H212" s="29"/>
      <c r="I212" s="29"/>
      <c r="J212" s="29"/>
      <c r="K212" s="29"/>
      <c r="L212" s="29"/>
      <c r="M212" s="29"/>
      <c r="N212" s="29"/>
      <c r="O212" s="29"/>
      <c r="P212" s="29"/>
      <c r="Q212" s="32"/>
      <c r="R212" s="29"/>
      <c r="S212" s="29"/>
      <c r="T212" s="33" t="str">
        <f aca="false">IF(AH212="Void – logged in error","",IF(OR(C212="",S212=""),IF(C212="","","Decide"),IF(OR(S212="Not reportable",S212="Over-3-day injury (record only)"),"No","Yes")))</f>
        <v/>
      </c>
      <c r="U212" s="34" t="str">
        <f aca="false">IF(OR(C212="",S212=""),"",IF(S212="Over-7-day injury",C212+15,IF(OR(S212="Death",S212="Specified injury",S212="Member of public to hospital",S212="Dangerous occurrence"),C212+10,"")))</f>
        <v/>
      </c>
      <c r="V212" s="28" t="str">
        <f aca="true">IF(C212="","",IF(AH212="Void – logged in error","Void",IF(W212&lt;&gt;"","Done – reported",IF(S212="Occupational disease","REPORT NOW – on diagnosis",IF(ISNUMBER(U212),IF(U212&lt;TODAY(),"OVERDUE – report now",IF(U212=TODAY(),"DUE TODAY",IF(U212-TODAY()&lt;='Start here'!$C$7,"DUE in "&amp;(U212-TODAY())&amp;" days",IF(OR(S212="Death",S212="Specified injury",S212="Member of public to hospital",S212="Dangerous occurrence"),"REPORT without delay","Report by date shown")))),IF(AND(N(Q212)&gt;7,OR(S212="",S212="Not reportable",S212="Over-3-day injury (record only)")),"CHECK – over 7 days off",IF(S212="","Decide RIDDOR",IF(S212="Over-3-day injury (record only)","Record only","Not reportable"))))))))</f>
        <v/>
      </c>
      <c r="W212" s="30"/>
      <c r="X212" s="29"/>
      <c r="Y212" s="32"/>
      <c r="Z212" s="29"/>
      <c r="AA212" s="35"/>
      <c r="AB212" s="29"/>
      <c r="AC212" s="29"/>
      <c r="AD212" s="29"/>
      <c r="AE212" s="29"/>
      <c r="AF212" s="29"/>
      <c r="AG212" s="30"/>
      <c r="AH212" s="29"/>
      <c r="AI212" s="36" t="str">
        <f aca="true">IF(OR(C212="",AH212="Closed",AH212="Void – logged in error",AG212=""),"",IF(AG212&lt;TODAY(),"OVERDUE",IF(AG212-TODAY()&lt;='Start here'!$C$8,"Due soon","On track")))</f>
        <v/>
      </c>
      <c r="AJ212" s="29"/>
      <c r="AK212" s="29"/>
      <c r="AL212" s="30"/>
      <c r="AM212" s="37" t="str">
        <f aca="false">IF(AND(C212&lt;&gt;"",AH212&lt;&gt;"Closed",AH212&lt;&gt;"Void – logged in error",OR(AH212&lt;&gt;"",AD212&lt;&gt;"",AE212&lt;&gt;"",AF212&lt;&gt;"",AG212&lt;&gt;"")),ROW(),"")</f>
        <v/>
      </c>
    </row>
    <row r="213" customFormat="false" ht="30" hidden="false" customHeight="true" outlineLevel="0" collapsed="false">
      <c r="A213" s="28" t="str">
        <f aca="false">IF(C213="","","INC-"&amp;YEAR(C213)&amp;"-"&amp;TEXT(COUNTIFS($C$6:C213,"&gt;="&amp;DATE(YEAR(C213),1,1),$C$6:C213,"&lt;="&amp;DATE(YEAR(C213),12,31)),"000"))</f>
        <v/>
      </c>
      <c r="B213" s="29"/>
      <c r="C213" s="30"/>
      <c r="D213" s="31"/>
      <c r="E213" s="30"/>
      <c r="F213" s="29"/>
      <c r="G213" s="29"/>
      <c r="H213" s="29"/>
      <c r="I213" s="29"/>
      <c r="J213" s="29"/>
      <c r="K213" s="29"/>
      <c r="L213" s="29"/>
      <c r="M213" s="29"/>
      <c r="N213" s="29"/>
      <c r="O213" s="29"/>
      <c r="P213" s="29"/>
      <c r="Q213" s="32"/>
      <c r="R213" s="29"/>
      <c r="S213" s="29"/>
      <c r="T213" s="33" t="str">
        <f aca="false">IF(AH213="Void – logged in error","",IF(OR(C213="",S213=""),IF(C213="","","Decide"),IF(OR(S213="Not reportable",S213="Over-3-day injury (record only)"),"No","Yes")))</f>
        <v/>
      </c>
      <c r="U213" s="34" t="str">
        <f aca="false">IF(OR(C213="",S213=""),"",IF(S213="Over-7-day injury",C213+15,IF(OR(S213="Death",S213="Specified injury",S213="Member of public to hospital",S213="Dangerous occurrence"),C213+10,"")))</f>
        <v/>
      </c>
      <c r="V213" s="28" t="str">
        <f aca="true">IF(C213="","",IF(AH213="Void – logged in error","Void",IF(W213&lt;&gt;"","Done – reported",IF(S213="Occupational disease","REPORT NOW – on diagnosis",IF(ISNUMBER(U213),IF(U213&lt;TODAY(),"OVERDUE – report now",IF(U213=TODAY(),"DUE TODAY",IF(U213-TODAY()&lt;='Start here'!$C$7,"DUE in "&amp;(U213-TODAY())&amp;" days",IF(OR(S213="Death",S213="Specified injury",S213="Member of public to hospital",S213="Dangerous occurrence"),"REPORT without delay","Report by date shown")))),IF(AND(N(Q213)&gt;7,OR(S213="",S213="Not reportable",S213="Over-3-day injury (record only)")),"CHECK – over 7 days off",IF(S213="","Decide RIDDOR",IF(S213="Over-3-day injury (record only)","Record only","Not reportable"))))))))</f>
        <v/>
      </c>
      <c r="W213" s="30"/>
      <c r="X213" s="29"/>
      <c r="Y213" s="32"/>
      <c r="Z213" s="29"/>
      <c r="AA213" s="35"/>
      <c r="AB213" s="29"/>
      <c r="AC213" s="29"/>
      <c r="AD213" s="29"/>
      <c r="AE213" s="29"/>
      <c r="AF213" s="29"/>
      <c r="AG213" s="30"/>
      <c r="AH213" s="29"/>
      <c r="AI213" s="36" t="str">
        <f aca="true">IF(OR(C213="",AH213="Closed",AH213="Void – logged in error",AG213=""),"",IF(AG213&lt;TODAY(),"OVERDUE",IF(AG213-TODAY()&lt;='Start here'!$C$8,"Due soon","On track")))</f>
        <v/>
      </c>
      <c r="AJ213" s="29"/>
      <c r="AK213" s="29"/>
      <c r="AL213" s="30"/>
      <c r="AM213" s="37" t="str">
        <f aca="false">IF(AND(C213&lt;&gt;"",AH213&lt;&gt;"Closed",AH213&lt;&gt;"Void – logged in error",OR(AH213&lt;&gt;"",AD213&lt;&gt;"",AE213&lt;&gt;"",AF213&lt;&gt;"",AG213&lt;&gt;"")),ROW(),"")</f>
        <v/>
      </c>
    </row>
    <row r="214" customFormat="false" ht="30" hidden="false" customHeight="true" outlineLevel="0" collapsed="false">
      <c r="A214" s="28" t="str">
        <f aca="false">IF(C214="","","INC-"&amp;YEAR(C214)&amp;"-"&amp;TEXT(COUNTIFS($C$6:C214,"&gt;="&amp;DATE(YEAR(C214),1,1),$C$6:C214,"&lt;="&amp;DATE(YEAR(C214),12,31)),"000"))</f>
        <v/>
      </c>
      <c r="B214" s="29"/>
      <c r="C214" s="30"/>
      <c r="D214" s="31"/>
      <c r="E214" s="30"/>
      <c r="F214" s="29"/>
      <c r="G214" s="29"/>
      <c r="H214" s="29"/>
      <c r="I214" s="29"/>
      <c r="J214" s="29"/>
      <c r="K214" s="29"/>
      <c r="L214" s="29"/>
      <c r="M214" s="29"/>
      <c r="N214" s="29"/>
      <c r="O214" s="29"/>
      <c r="P214" s="29"/>
      <c r="Q214" s="32"/>
      <c r="R214" s="29"/>
      <c r="S214" s="29"/>
      <c r="T214" s="33" t="str">
        <f aca="false">IF(AH214="Void – logged in error","",IF(OR(C214="",S214=""),IF(C214="","","Decide"),IF(OR(S214="Not reportable",S214="Over-3-day injury (record only)"),"No","Yes")))</f>
        <v/>
      </c>
      <c r="U214" s="34" t="str">
        <f aca="false">IF(OR(C214="",S214=""),"",IF(S214="Over-7-day injury",C214+15,IF(OR(S214="Death",S214="Specified injury",S214="Member of public to hospital",S214="Dangerous occurrence"),C214+10,"")))</f>
        <v/>
      </c>
      <c r="V214" s="28" t="str">
        <f aca="true">IF(C214="","",IF(AH214="Void – logged in error","Void",IF(W214&lt;&gt;"","Done – reported",IF(S214="Occupational disease","REPORT NOW – on diagnosis",IF(ISNUMBER(U214),IF(U214&lt;TODAY(),"OVERDUE – report now",IF(U214=TODAY(),"DUE TODAY",IF(U214-TODAY()&lt;='Start here'!$C$7,"DUE in "&amp;(U214-TODAY())&amp;" days",IF(OR(S214="Death",S214="Specified injury",S214="Member of public to hospital",S214="Dangerous occurrence"),"REPORT without delay","Report by date shown")))),IF(AND(N(Q214)&gt;7,OR(S214="",S214="Not reportable",S214="Over-3-day injury (record only)")),"CHECK – over 7 days off",IF(S214="","Decide RIDDOR",IF(S214="Over-3-day injury (record only)","Record only","Not reportable"))))))))</f>
        <v/>
      </c>
      <c r="W214" s="30"/>
      <c r="X214" s="29"/>
      <c r="Y214" s="32"/>
      <c r="Z214" s="29"/>
      <c r="AA214" s="35"/>
      <c r="AB214" s="29"/>
      <c r="AC214" s="29"/>
      <c r="AD214" s="29"/>
      <c r="AE214" s="29"/>
      <c r="AF214" s="29"/>
      <c r="AG214" s="30"/>
      <c r="AH214" s="29"/>
      <c r="AI214" s="36" t="str">
        <f aca="true">IF(OR(C214="",AH214="Closed",AH214="Void – logged in error",AG214=""),"",IF(AG214&lt;TODAY(),"OVERDUE",IF(AG214-TODAY()&lt;='Start here'!$C$8,"Due soon","On track")))</f>
        <v/>
      </c>
      <c r="AJ214" s="29"/>
      <c r="AK214" s="29"/>
      <c r="AL214" s="30"/>
      <c r="AM214" s="37" t="str">
        <f aca="false">IF(AND(C214&lt;&gt;"",AH214&lt;&gt;"Closed",AH214&lt;&gt;"Void – logged in error",OR(AH214&lt;&gt;"",AD214&lt;&gt;"",AE214&lt;&gt;"",AF214&lt;&gt;"",AG214&lt;&gt;"")),ROW(),"")</f>
        <v/>
      </c>
    </row>
    <row r="215" customFormat="false" ht="30" hidden="false" customHeight="true" outlineLevel="0" collapsed="false">
      <c r="A215" s="28" t="str">
        <f aca="false">IF(C215="","","INC-"&amp;YEAR(C215)&amp;"-"&amp;TEXT(COUNTIFS($C$6:C215,"&gt;="&amp;DATE(YEAR(C215),1,1),$C$6:C215,"&lt;="&amp;DATE(YEAR(C215),12,31)),"000"))</f>
        <v/>
      </c>
      <c r="B215" s="29"/>
      <c r="C215" s="30"/>
      <c r="D215" s="31"/>
      <c r="E215" s="30"/>
      <c r="F215" s="29"/>
      <c r="G215" s="29"/>
      <c r="H215" s="29"/>
      <c r="I215" s="29"/>
      <c r="J215" s="29"/>
      <c r="K215" s="29"/>
      <c r="L215" s="29"/>
      <c r="M215" s="29"/>
      <c r="N215" s="29"/>
      <c r="O215" s="29"/>
      <c r="P215" s="29"/>
      <c r="Q215" s="32"/>
      <c r="R215" s="29"/>
      <c r="S215" s="29"/>
      <c r="T215" s="33" t="str">
        <f aca="false">IF(AH215="Void – logged in error","",IF(OR(C215="",S215=""),IF(C215="","","Decide"),IF(OR(S215="Not reportable",S215="Over-3-day injury (record only)"),"No","Yes")))</f>
        <v/>
      </c>
      <c r="U215" s="34" t="str">
        <f aca="false">IF(OR(C215="",S215=""),"",IF(S215="Over-7-day injury",C215+15,IF(OR(S215="Death",S215="Specified injury",S215="Member of public to hospital",S215="Dangerous occurrence"),C215+10,"")))</f>
        <v/>
      </c>
      <c r="V215" s="28" t="str">
        <f aca="true">IF(C215="","",IF(AH215="Void – logged in error","Void",IF(W215&lt;&gt;"","Done – reported",IF(S215="Occupational disease","REPORT NOW – on diagnosis",IF(ISNUMBER(U215),IF(U215&lt;TODAY(),"OVERDUE – report now",IF(U215=TODAY(),"DUE TODAY",IF(U215-TODAY()&lt;='Start here'!$C$7,"DUE in "&amp;(U215-TODAY())&amp;" days",IF(OR(S215="Death",S215="Specified injury",S215="Member of public to hospital",S215="Dangerous occurrence"),"REPORT without delay","Report by date shown")))),IF(AND(N(Q215)&gt;7,OR(S215="",S215="Not reportable",S215="Over-3-day injury (record only)")),"CHECK – over 7 days off",IF(S215="","Decide RIDDOR",IF(S215="Over-3-day injury (record only)","Record only","Not reportable"))))))))</f>
        <v/>
      </c>
      <c r="W215" s="30"/>
      <c r="X215" s="29"/>
      <c r="Y215" s="32"/>
      <c r="Z215" s="29"/>
      <c r="AA215" s="35"/>
      <c r="AB215" s="29"/>
      <c r="AC215" s="29"/>
      <c r="AD215" s="29"/>
      <c r="AE215" s="29"/>
      <c r="AF215" s="29"/>
      <c r="AG215" s="30"/>
      <c r="AH215" s="29"/>
      <c r="AI215" s="36" t="str">
        <f aca="true">IF(OR(C215="",AH215="Closed",AH215="Void – logged in error",AG215=""),"",IF(AG215&lt;TODAY(),"OVERDUE",IF(AG215-TODAY()&lt;='Start here'!$C$8,"Due soon","On track")))</f>
        <v/>
      </c>
      <c r="AJ215" s="29"/>
      <c r="AK215" s="29"/>
      <c r="AL215" s="30"/>
      <c r="AM215" s="37" t="str">
        <f aca="false">IF(AND(C215&lt;&gt;"",AH215&lt;&gt;"Closed",AH215&lt;&gt;"Void – logged in error",OR(AH215&lt;&gt;"",AD215&lt;&gt;"",AE215&lt;&gt;"",AF215&lt;&gt;"",AG215&lt;&gt;"")),ROW(),"")</f>
        <v/>
      </c>
    </row>
    <row r="216" customFormat="false" ht="30" hidden="false" customHeight="true" outlineLevel="0" collapsed="false">
      <c r="A216" s="28" t="str">
        <f aca="false">IF(C216="","","INC-"&amp;YEAR(C216)&amp;"-"&amp;TEXT(COUNTIFS($C$6:C216,"&gt;="&amp;DATE(YEAR(C216),1,1),$C$6:C216,"&lt;="&amp;DATE(YEAR(C216),12,31)),"000"))</f>
        <v/>
      </c>
      <c r="B216" s="29"/>
      <c r="C216" s="30"/>
      <c r="D216" s="31"/>
      <c r="E216" s="30"/>
      <c r="F216" s="29"/>
      <c r="G216" s="29"/>
      <c r="H216" s="29"/>
      <c r="I216" s="29"/>
      <c r="J216" s="29"/>
      <c r="K216" s="29"/>
      <c r="L216" s="29"/>
      <c r="M216" s="29"/>
      <c r="N216" s="29"/>
      <c r="O216" s="29"/>
      <c r="P216" s="29"/>
      <c r="Q216" s="32"/>
      <c r="R216" s="29"/>
      <c r="S216" s="29"/>
      <c r="T216" s="33" t="str">
        <f aca="false">IF(AH216="Void – logged in error","",IF(OR(C216="",S216=""),IF(C216="","","Decide"),IF(OR(S216="Not reportable",S216="Over-3-day injury (record only)"),"No","Yes")))</f>
        <v/>
      </c>
      <c r="U216" s="34" t="str">
        <f aca="false">IF(OR(C216="",S216=""),"",IF(S216="Over-7-day injury",C216+15,IF(OR(S216="Death",S216="Specified injury",S216="Member of public to hospital",S216="Dangerous occurrence"),C216+10,"")))</f>
        <v/>
      </c>
      <c r="V216" s="28" t="str">
        <f aca="true">IF(C216="","",IF(AH216="Void – logged in error","Void",IF(W216&lt;&gt;"","Done – reported",IF(S216="Occupational disease","REPORT NOW – on diagnosis",IF(ISNUMBER(U216),IF(U216&lt;TODAY(),"OVERDUE – report now",IF(U216=TODAY(),"DUE TODAY",IF(U216-TODAY()&lt;='Start here'!$C$7,"DUE in "&amp;(U216-TODAY())&amp;" days",IF(OR(S216="Death",S216="Specified injury",S216="Member of public to hospital",S216="Dangerous occurrence"),"REPORT without delay","Report by date shown")))),IF(AND(N(Q216)&gt;7,OR(S216="",S216="Not reportable",S216="Over-3-day injury (record only)")),"CHECK – over 7 days off",IF(S216="","Decide RIDDOR",IF(S216="Over-3-day injury (record only)","Record only","Not reportable"))))))))</f>
        <v/>
      </c>
      <c r="W216" s="30"/>
      <c r="X216" s="29"/>
      <c r="Y216" s="32"/>
      <c r="Z216" s="29"/>
      <c r="AA216" s="35"/>
      <c r="AB216" s="29"/>
      <c r="AC216" s="29"/>
      <c r="AD216" s="29"/>
      <c r="AE216" s="29"/>
      <c r="AF216" s="29"/>
      <c r="AG216" s="30"/>
      <c r="AH216" s="29"/>
      <c r="AI216" s="36" t="str">
        <f aca="true">IF(OR(C216="",AH216="Closed",AH216="Void – logged in error",AG216=""),"",IF(AG216&lt;TODAY(),"OVERDUE",IF(AG216-TODAY()&lt;='Start here'!$C$8,"Due soon","On track")))</f>
        <v/>
      </c>
      <c r="AJ216" s="29"/>
      <c r="AK216" s="29"/>
      <c r="AL216" s="30"/>
      <c r="AM216" s="37" t="str">
        <f aca="false">IF(AND(C216&lt;&gt;"",AH216&lt;&gt;"Closed",AH216&lt;&gt;"Void – logged in error",OR(AH216&lt;&gt;"",AD216&lt;&gt;"",AE216&lt;&gt;"",AF216&lt;&gt;"",AG216&lt;&gt;"")),ROW(),"")</f>
        <v/>
      </c>
    </row>
    <row r="217" customFormat="false" ht="30" hidden="false" customHeight="true" outlineLevel="0" collapsed="false">
      <c r="A217" s="28" t="str">
        <f aca="false">IF(C217="","","INC-"&amp;YEAR(C217)&amp;"-"&amp;TEXT(COUNTIFS($C$6:C217,"&gt;="&amp;DATE(YEAR(C217),1,1),$C$6:C217,"&lt;="&amp;DATE(YEAR(C217),12,31)),"000"))</f>
        <v/>
      </c>
      <c r="B217" s="29"/>
      <c r="C217" s="30"/>
      <c r="D217" s="31"/>
      <c r="E217" s="30"/>
      <c r="F217" s="29"/>
      <c r="G217" s="29"/>
      <c r="H217" s="29"/>
      <c r="I217" s="29"/>
      <c r="J217" s="29"/>
      <c r="K217" s="29"/>
      <c r="L217" s="29"/>
      <c r="M217" s="29"/>
      <c r="N217" s="29"/>
      <c r="O217" s="29"/>
      <c r="P217" s="29"/>
      <c r="Q217" s="32"/>
      <c r="R217" s="29"/>
      <c r="S217" s="29"/>
      <c r="T217" s="33" t="str">
        <f aca="false">IF(AH217="Void – logged in error","",IF(OR(C217="",S217=""),IF(C217="","","Decide"),IF(OR(S217="Not reportable",S217="Over-3-day injury (record only)"),"No","Yes")))</f>
        <v/>
      </c>
      <c r="U217" s="34" t="str">
        <f aca="false">IF(OR(C217="",S217=""),"",IF(S217="Over-7-day injury",C217+15,IF(OR(S217="Death",S217="Specified injury",S217="Member of public to hospital",S217="Dangerous occurrence"),C217+10,"")))</f>
        <v/>
      </c>
      <c r="V217" s="28" t="str">
        <f aca="true">IF(C217="","",IF(AH217="Void – logged in error","Void",IF(W217&lt;&gt;"","Done – reported",IF(S217="Occupational disease","REPORT NOW – on diagnosis",IF(ISNUMBER(U217),IF(U217&lt;TODAY(),"OVERDUE – report now",IF(U217=TODAY(),"DUE TODAY",IF(U217-TODAY()&lt;='Start here'!$C$7,"DUE in "&amp;(U217-TODAY())&amp;" days",IF(OR(S217="Death",S217="Specified injury",S217="Member of public to hospital",S217="Dangerous occurrence"),"REPORT without delay","Report by date shown")))),IF(AND(N(Q217)&gt;7,OR(S217="",S217="Not reportable",S217="Over-3-day injury (record only)")),"CHECK – over 7 days off",IF(S217="","Decide RIDDOR",IF(S217="Over-3-day injury (record only)","Record only","Not reportable"))))))))</f>
        <v/>
      </c>
      <c r="W217" s="30"/>
      <c r="X217" s="29"/>
      <c r="Y217" s="32"/>
      <c r="Z217" s="29"/>
      <c r="AA217" s="35"/>
      <c r="AB217" s="29"/>
      <c r="AC217" s="29"/>
      <c r="AD217" s="29"/>
      <c r="AE217" s="29"/>
      <c r="AF217" s="29"/>
      <c r="AG217" s="30"/>
      <c r="AH217" s="29"/>
      <c r="AI217" s="36" t="str">
        <f aca="true">IF(OR(C217="",AH217="Closed",AH217="Void – logged in error",AG217=""),"",IF(AG217&lt;TODAY(),"OVERDUE",IF(AG217-TODAY()&lt;='Start here'!$C$8,"Due soon","On track")))</f>
        <v/>
      </c>
      <c r="AJ217" s="29"/>
      <c r="AK217" s="29"/>
      <c r="AL217" s="30"/>
      <c r="AM217" s="37" t="str">
        <f aca="false">IF(AND(C217&lt;&gt;"",AH217&lt;&gt;"Closed",AH217&lt;&gt;"Void – logged in error",OR(AH217&lt;&gt;"",AD217&lt;&gt;"",AE217&lt;&gt;"",AF217&lt;&gt;"",AG217&lt;&gt;"")),ROW(),"")</f>
        <v/>
      </c>
    </row>
    <row r="218" customFormat="false" ht="30" hidden="false" customHeight="true" outlineLevel="0" collapsed="false">
      <c r="A218" s="28" t="str">
        <f aca="false">IF(C218="","","INC-"&amp;YEAR(C218)&amp;"-"&amp;TEXT(COUNTIFS($C$6:C218,"&gt;="&amp;DATE(YEAR(C218),1,1),$C$6:C218,"&lt;="&amp;DATE(YEAR(C218),12,31)),"000"))</f>
        <v/>
      </c>
      <c r="B218" s="29"/>
      <c r="C218" s="30"/>
      <c r="D218" s="31"/>
      <c r="E218" s="30"/>
      <c r="F218" s="29"/>
      <c r="G218" s="29"/>
      <c r="H218" s="29"/>
      <c r="I218" s="29"/>
      <c r="J218" s="29"/>
      <c r="K218" s="29"/>
      <c r="L218" s="29"/>
      <c r="M218" s="29"/>
      <c r="N218" s="29"/>
      <c r="O218" s="29"/>
      <c r="P218" s="29"/>
      <c r="Q218" s="32"/>
      <c r="R218" s="29"/>
      <c r="S218" s="29"/>
      <c r="T218" s="33" t="str">
        <f aca="false">IF(AH218="Void – logged in error","",IF(OR(C218="",S218=""),IF(C218="","","Decide"),IF(OR(S218="Not reportable",S218="Over-3-day injury (record only)"),"No","Yes")))</f>
        <v/>
      </c>
      <c r="U218" s="34" t="str">
        <f aca="false">IF(OR(C218="",S218=""),"",IF(S218="Over-7-day injury",C218+15,IF(OR(S218="Death",S218="Specified injury",S218="Member of public to hospital",S218="Dangerous occurrence"),C218+10,"")))</f>
        <v/>
      </c>
      <c r="V218" s="28" t="str">
        <f aca="true">IF(C218="","",IF(AH218="Void – logged in error","Void",IF(W218&lt;&gt;"","Done – reported",IF(S218="Occupational disease","REPORT NOW – on diagnosis",IF(ISNUMBER(U218),IF(U218&lt;TODAY(),"OVERDUE – report now",IF(U218=TODAY(),"DUE TODAY",IF(U218-TODAY()&lt;='Start here'!$C$7,"DUE in "&amp;(U218-TODAY())&amp;" days",IF(OR(S218="Death",S218="Specified injury",S218="Member of public to hospital",S218="Dangerous occurrence"),"REPORT without delay","Report by date shown")))),IF(AND(N(Q218)&gt;7,OR(S218="",S218="Not reportable",S218="Over-3-day injury (record only)")),"CHECK – over 7 days off",IF(S218="","Decide RIDDOR",IF(S218="Over-3-day injury (record only)","Record only","Not reportable"))))))))</f>
        <v/>
      </c>
      <c r="W218" s="30"/>
      <c r="X218" s="29"/>
      <c r="Y218" s="32"/>
      <c r="Z218" s="29"/>
      <c r="AA218" s="35"/>
      <c r="AB218" s="29"/>
      <c r="AC218" s="29"/>
      <c r="AD218" s="29"/>
      <c r="AE218" s="29"/>
      <c r="AF218" s="29"/>
      <c r="AG218" s="30"/>
      <c r="AH218" s="29"/>
      <c r="AI218" s="36" t="str">
        <f aca="true">IF(OR(C218="",AH218="Closed",AH218="Void – logged in error",AG218=""),"",IF(AG218&lt;TODAY(),"OVERDUE",IF(AG218-TODAY()&lt;='Start here'!$C$8,"Due soon","On track")))</f>
        <v/>
      </c>
      <c r="AJ218" s="29"/>
      <c r="AK218" s="29"/>
      <c r="AL218" s="30"/>
      <c r="AM218" s="37" t="str">
        <f aca="false">IF(AND(C218&lt;&gt;"",AH218&lt;&gt;"Closed",AH218&lt;&gt;"Void – logged in error",OR(AH218&lt;&gt;"",AD218&lt;&gt;"",AE218&lt;&gt;"",AF218&lt;&gt;"",AG218&lt;&gt;"")),ROW(),"")</f>
        <v/>
      </c>
    </row>
    <row r="219" customFormat="false" ht="30" hidden="false" customHeight="true" outlineLevel="0" collapsed="false">
      <c r="A219" s="28" t="str">
        <f aca="false">IF(C219="","","INC-"&amp;YEAR(C219)&amp;"-"&amp;TEXT(COUNTIFS($C$6:C219,"&gt;="&amp;DATE(YEAR(C219),1,1),$C$6:C219,"&lt;="&amp;DATE(YEAR(C219),12,31)),"000"))</f>
        <v/>
      </c>
      <c r="B219" s="29"/>
      <c r="C219" s="30"/>
      <c r="D219" s="31"/>
      <c r="E219" s="30"/>
      <c r="F219" s="29"/>
      <c r="G219" s="29"/>
      <c r="H219" s="29"/>
      <c r="I219" s="29"/>
      <c r="J219" s="29"/>
      <c r="K219" s="29"/>
      <c r="L219" s="29"/>
      <c r="M219" s="29"/>
      <c r="N219" s="29"/>
      <c r="O219" s="29"/>
      <c r="P219" s="29"/>
      <c r="Q219" s="32"/>
      <c r="R219" s="29"/>
      <c r="S219" s="29"/>
      <c r="T219" s="33" t="str">
        <f aca="false">IF(AH219="Void – logged in error","",IF(OR(C219="",S219=""),IF(C219="","","Decide"),IF(OR(S219="Not reportable",S219="Over-3-day injury (record only)"),"No","Yes")))</f>
        <v/>
      </c>
      <c r="U219" s="34" t="str">
        <f aca="false">IF(OR(C219="",S219=""),"",IF(S219="Over-7-day injury",C219+15,IF(OR(S219="Death",S219="Specified injury",S219="Member of public to hospital",S219="Dangerous occurrence"),C219+10,"")))</f>
        <v/>
      </c>
      <c r="V219" s="28" t="str">
        <f aca="true">IF(C219="","",IF(AH219="Void – logged in error","Void",IF(W219&lt;&gt;"","Done – reported",IF(S219="Occupational disease","REPORT NOW – on diagnosis",IF(ISNUMBER(U219),IF(U219&lt;TODAY(),"OVERDUE – report now",IF(U219=TODAY(),"DUE TODAY",IF(U219-TODAY()&lt;='Start here'!$C$7,"DUE in "&amp;(U219-TODAY())&amp;" days",IF(OR(S219="Death",S219="Specified injury",S219="Member of public to hospital",S219="Dangerous occurrence"),"REPORT without delay","Report by date shown")))),IF(AND(N(Q219)&gt;7,OR(S219="",S219="Not reportable",S219="Over-3-day injury (record only)")),"CHECK – over 7 days off",IF(S219="","Decide RIDDOR",IF(S219="Over-3-day injury (record only)","Record only","Not reportable"))))))))</f>
        <v/>
      </c>
      <c r="W219" s="30"/>
      <c r="X219" s="29"/>
      <c r="Y219" s="32"/>
      <c r="Z219" s="29"/>
      <c r="AA219" s="35"/>
      <c r="AB219" s="29"/>
      <c r="AC219" s="29"/>
      <c r="AD219" s="29"/>
      <c r="AE219" s="29"/>
      <c r="AF219" s="29"/>
      <c r="AG219" s="30"/>
      <c r="AH219" s="29"/>
      <c r="AI219" s="36" t="str">
        <f aca="true">IF(OR(C219="",AH219="Closed",AH219="Void – logged in error",AG219=""),"",IF(AG219&lt;TODAY(),"OVERDUE",IF(AG219-TODAY()&lt;='Start here'!$C$8,"Due soon","On track")))</f>
        <v/>
      </c>
      <c r="AJ219" s="29"/>
      <c r="AK219" s="29"/>
      <c r="AL219" s="30"/>
      <c r="AM219" s="37" t="str">
        <f aca="false">IF(AND(C219&lt;&gt;"",AH219&lt;&gt;"Closed",AH219&lt;&gt;"Void – logged in error",OR(AH219&lt;&gt;"",AD219&lt;&gt;"",AE219&lt;&gt;"",AF219&lt;&gt;"",AG219&lt;&gt;"")),ROW(),"")</f>
        <v/>
      </c>
    </row>
    <row r="220" customFormat="false" ht="30" hidden="false" customHeight="true" outlineLevel="0" collapsed="false">
      <c r="A220" s="28" t="str">
        <f aca="false">IF(C220="","","INC-"&amp;YEAR(C220)&amp;"-"&amp;TEXT(COUNTIFS($C$6:C220,"&gt;="&amp;DATE(YEAR(C220),1,1),$C$6:C220,"&lt;="&amp;DATE(YEAR(C220),12,31)),"000"))</f>
        <v/>
      </c>
      <c r="B220" s="29"/>
      <c r="C220" s="30"/>
      <c r="D220" s="31"/>
      <c r="E220" s="30"/>
      <c r="F220" s="29"/>
      <c r="G220" s="29"/>
      <c r="H220" s="29"/>
      <c r="I220" s="29"/>
      <c r="J220" s="29"/>
      <c r="K220" s="29"/>
      <c r="L220" s="29"/>
      <c r="M220" s="29"/>
      <c r="N220" s="29"/>
      <c r="O220" s="29"/>
      <c r="P220" s="29"/>
      <c r="Q220" s="32"/>
      <c r="R220" s="29"/>
      <c r="S220" s="29"/>
      <c r="T220" s="33" t="str">
        <f aca="false">IF(AH220="Void – logged in error","",IF(OR(C220="",S220=""),IF(C220="","","Decide"),IF(OR(S220="Not reportable",S220="Over-3-day injury (record only)"),"No","Yes")))</f>
        <v/>
      </c>
      <c r="U220" s="34" t="str">
        <f aca="false">IF(OR(C220="",S220=""),"",IF(S220="Over-7-day injury",C220+15,IF(OR(S220="Death",S220="Specified injury",S220="Member of public to hospital",S220="Dangerous occurrence"),C220+10,"")))</f>
        <v/>
      </c>
      <c r="V220" s="28" t="str">
        <f aca="true">IF(C220="","",IF(AH220="Void – logged in error","Void",IF(W220&lt;&gt;"","Done – reported",IF(S220="Occupational disease","REPORT NOW – on diagnosis",IF(ISNUMBER(U220),IF(U220&lt;TODAY(),"OVERDUE – report now",IF(U220=TODAY(),"DUE TODAY",IF(U220-TODAY()&lt;='Start here'!$C$7,"DUE in "&amp;(U220-TODAY())&amp;" days",IF(OR(S220="Death",S220="Specified injury",S220="Member of public to hospital",S220="Dangerous occurrence"),"REPORT without delay","Report by date shown")))),IF(AND(N(Q220)&gt;7,OR(S220="",S220="Not reportable",S220="Over-3-day injury (record only)")),"CHECK – over 7 days off",IF(S220="","Decide RIDDOR",IF(S220="Over-3-day injury (record only)","Record only","Not reportable"))))))))</f>
        <v/>
      </c>
      <c r="W220" s="30"/>
      <c r="X220" s="29"/>
      <c r="Y220" s="32"/>
      <c r="Z220" s="29"/>
      <c r="AA220" s="35"/>
      <c r="AB220" s="29"/>
      <c r="AC220" s="29"/>
      <c r="AD220" s="29"/>
      <c r="AE220" s="29"/>
      <c r="AF220" s="29"/>
      <c r="AG220" s="30"/>
      <c r="AH220" s="29"/>
      <c r="AI220" s="36" t="str">
        <f aca="true">IF(OR(C220="",AH220="Closed",AH220="Void – logged in error",AG220=""),"",IF(AG220&lt;TODAY(),"OVERDUE",IF(AG220-TODAY()&lt;='Start here'!$C$8,"Due soon","On track")))</f>
        <v/>
      </c>
      <c r="AJ220" s="29"/>
      <c r="AK220" s="29"/>
      <c r="AL220" s="30"/>
      <c r="AM220" s="37" t="str">
        <f aca="false">IF(AND(C220&lt;&gt;"",AH220&lt;&gt;"Closed",AH220&lt;&gt;"Void – logged in error",OR(AH220&lt;&gt;"",AD220&lt;&gt;"",AE220&lt;&gt;"",AF220&lt;&gt;"",AG220&lt;&gt;"")),ROW(),"")</f>
        <v/>
      </c>
    </row>
    <row r="221" customFormat="false" ht="30" hidden="false" customHeight="true" outlineLevel="0" collapsed="false">
      <c r="A221" s="28" t="str">
        <f aca="false">IF(C221="","","INC-"&amp;YEAR(C221)&amp;"-"&amp;TEXT(COUNTIFS($C$6:C221,"&gt;="&amp;DATE(YEAR(C221),1,1),$C$6:C221,"&lt;="&amp;DATE(YEAR(C221),12,31)),"000"))</f>
        <v/>
      </c>
      <c r="B221" s="29"/>
      <c r="C221" s="30"/>
      <c r="D221" s="31"/>
      <c r="E221" s="30"/>
      <c r="F221" s="29"/>
      <c r="G221" s="29"/>
      <c r="H221" s="29"/>
      <c r="I221" s="29"/>
      <c r="J221" s="29"/>
      <c r="K221" s="29"/>
      <c r="L221" s="29"/>
      <c r="M221" s="29"/>
      <c r="N221" s="29"/>
      <c r="O221" s="29"/>
      <c r="P221" s="29"/>
      <c r="Q221" s="32"/>
      <c r="R221" s="29"/>
      <c r="S221" s="29"/>
      <c r="T221" s="33" t="str">
        <f aca="false">IF(AH221="Void – logged in error","",IF(OR(C221="",S221=""),IF(C221="","","Decide"),IF(OR(S221="Not reportable",S221="Over-3-day injury (record only)"),"No","Yes")))</f>
        <v/>
      </c>
      <c r="U221" s="34" t="str">
        <f aca="false">IF(OR(C221="",S221=""),"",IF(S221="Over-7-day injury",C221+15,IF(OR(S221="Death",S221="Specified injury",S221="Member of public to hospital",S221="Dangerous occurrence"),C221+10,"")))</f>
        <v/>
      </c>
      <c r="V221" s="28" t="str">
        <f aca="true">IF(C221="","",IF(AH221="Void – logged in error","Void",IF(W221&lt;&gt;"","Done – reported",IF(S221="Occupational disease","REPORT NOW – on diagnosis",IF(ISNUMBER(U221),IF(U221&lt;TODAY(),"OVERDUE – report now",IF(U221=TODAY(),"DUE TODAY",IF(U221-TODAY()&lt;='Start here'!$C$7,"DUE in "&amp;(U221-TODAY())&amp;" days",IF(OR(S221="Death",S221="Specified injury",S221="Member of public to hospital",S221="Dangerous occurrence"),"REPORT without delay","Report by date shown")))),IF(AND(N(Q221)&gt;7,OR(S221="",S221="Not reportable",S221="Over-3-day injury (record only)")),"CHECK – over 7 days off",IF(S221="","Decide RIDDOR",IF(S221="Over-3-day injury (record only)","Record only","Not reportable"))))))))</f>
        <v/>
      </c>
      <c r="W221" s="30"/>
      <c r="X221" s="29"/>
      <c r="Y221" s="32"/>
      <c r="Z221" s="29"/>
      <c r="AA221" s="35"/>
      <c r="AB221" s="29"/>
      <c r="AC221" s="29"/>
      <c r="AD221" s="29"/>
      <c r="AE221" s="29"/>
      <c r="AF221" s="29"/>
      <c r="AG221" s="30"/>
      <c r="AH221" s="29"/>
      <c r="AI221" s="36" t="str">
        <f aca="true">IF(OR(C221="",AH221="Closed",AH221="Void – logged in error",AG221=""),"",IF(AG221&lt;TODAY(),"OVERDUE",IF(AG221-TODAY()&lt;='Start here'!$C$8,"Due soon","On track")))</f>
        <v/>
      </c>
      <c r="AJ221" s="29"/>
      <c r="AK221" s="29"/>
      <c r="AL221" s="30"/>
      <c r="AM221" s="37" t="str">
        <f aca="false">IF(AND(C221&lt;&gt;"",AH221&lt;&gt;"Closed",AH221&lt;&gt;"Void – logged in error",OR(AH221&lt;&gt;"",AD221&lt;&gt;"",AE221&lt;&gt;"",AF221&lt;&gt;"",AG221&lt;&gt;"")),ROW(),"")</f>
        <v/>
      </c>
    </row>
    <row r="222" customFormat="false" ht="30" hidden="false" customHeight="true" outlineLevel="0" collapsed="false">
      <c r="A222" s="28" t="str">
        <f aca="false">IF(C222="","","INC-"&amp;YEAR(C222)&amp;"-"&amp;TEXT(COUNTIFS($C$6:C222,"&gt;="&amp;DATE(YEAR(C222),1,1),$C$6:C222,"&lt;="&amp;DATE(YEAR(C222),12,31)),"000"))</f>
        <v/>
      </c>
      <c r="B222" s="29"/>
      <c r="C222" s="30"/>
      <c r="D222" s="31"/>
      <c r="E222" s="30"/>
      <c r="F222" s="29"/>
      <c r="G222" s="29"/>
      <c r="H222" s="29"/>
      <c r="I222" s="29"/>
      <c r="J222" s="29"/>
      <c r="K222" s="29"/>
      <c r="L222" s="29"/>
      <c r="M222" s="29"/>
      <c r="N222" s="29"/>
      <c r="O222" s="29"/>
      <c r="P222" s="29"/>
      <c r="Q222" s="32"/>
      <c r="R222" s="29"/>
      <c r="S222" s="29"/>
      <c r="T222" s="33" t="str">
        <f aca="false">IF(AH222="Void – logged in error","",IF(OR(C222="",S222=""),IF(C222="","","Decide"),IF(OR(S222="Not reportable",S222="Over-3-day injury (record only)"),"No","Yes")))</f>
        <v/>
      </c>
      <c r="U222" s="34" t="str">
        <f aca="false">IF(OR(C222="",S222=""),"",IF(S222="Over-7-day injury",C222+15,IF(OR(S222="Death",S222="Specified injury",S222="Member of public to hospital",S222="Dangerous occurrence"),C222+10,"")))</f>
        <v/>
      </c>
      <c r="V222" s="28" t="str">
        <f aca="true">IF(C222="","",IF(AH222="Void – logged in error","Void",IF(W222&lt;&gt;"","Done – reported",IF(S222="Occupational disease","REPORT NOW – on diagnosis",IF(ISNUMBER(U222),IF(U222&lt;TODAY(),"OVERDUE – report now",IF(U222=TODAY(),"DUE TODAY",IF(U222-TODAY()&lt;='Start here'!$C$7,"DUE in "&amp;(U222-TODAY())&amp;" days",IF(OR(S222="Death",S222="Specified injury",S222="Member of public to hospital",S222="Dangerous occurrence"),"REPORT without delay","Report by date shown")))),IF(AND(N(Q222)&gt;7,OR(S222="",S222="Not reportable",S222="Over-3-day injury (record only)")),"CHECK – over 7 days off",IF(S222="","Decide RIDDOR",IF(S222="Over-3-day injury (record only)","Record only","Not reportable"))))))))</f>
        <v/>
      </c>
      <c r="W222" s="30"/>
      <c r="X222" s="29"/>
      <c r="Y222" s="32"/>
      <c r="Z222" s="29"/>
      <c r="AA222" s="35"/>
      <c r="AB222" s="29"/>
      <c r="AC222" s="29"/>
      <c r="AD222" s="29"/>
      <c r="AE222" s="29"/>
      <c r="AF222" s="29"/>
      <c r="AG222" s="30"/>
      <c r="AH222" s="29"/>
      <c r="AI222" s="36" t="str">
        <f aca="true">IF(OR(C222="",AH222="Closed",AH222="Void – logged in error",AG222=""),"",IF(AG222&lt;TODAY(),"OVERDUE",IF(AG222-TODAY()&lt;='Start here'!$C$8,"Due soon","On track")))</f>
        <v/>
      </c>
      <c r="AJ222" s="29"/>
      <c r="AK222" s="29"/>
      <c r="AL222" s="30"/>
      <c r="AM222" s="37" t="str">
        <f aca="false">IF(AND(C222&lt;&gt;"",AH222&lt;&gt;"Closed",AH222&lt;&gt;"Void – logged in error",OR(AH222&lt;&gt;"",AD222&lt;&gt;"",AE222&lt;&gt;"",AF222&lt;&gt;"",AG222&lt;&gt;"")),ROW(),"")</f>
        <v/>
      </c>
    </row>
    <row r="223" customFormat="false" ht="30" hidden="false" customHeight="true" outlineLevel="0" collapsed="false">
      <c r="A223" s="28" t="str">
        <f aca="false">IF(C223="","","INC-"&amp;YEAR(C223)&amp;"-"&amp;TEXT(COUNTIFS($C$6:C223,"&gt;="&amp;DATE(YEAR(C223),1,1),$C$6:C223,"&lt;="&amp;DATE(YEAR(C223),12,31)),"000"))</f>
        <v/>
      </c>
      <c r="B223" s="29"/>
      <c r="C223" s="30"/>
      <c r="D223" s="31"/>
      <c r="E223" s="30"/>
      <c r="F223" s="29"/>
      <c r="G223" s="29"/>
      <c r="H223" s="29"/>
      <c r="I223" s="29"/>
      <c r="J223" s="29"/>
      <c r="K223" s="29"/>
      <c r="L223" s="29"/>
      <c r="M223" s="29"/>
      <c r="N223" s="29"/>
      <c r="O223" s="29"/>
      <c r="P223" s="29"/>
      <c r="Q223" s="32"/>
      <c r="R223" s="29"/>
      <c r="S223" s="29"/>
      <c r="T223" s="33" t="str">
        <f aca="false">IF(AH223="Void – logged in error","",IF(OR(C223="",S223=""),IF(C223="","","Decide"),IF(OR(S223="Not reportable",S223="Over-3-day injury (record only)"),"No","Yes")))</f>
        <v/>
      </c>
      <c r="U223" s="34" t="str">
        <f aca="false">IF(OR(C223="",S223=""),"",IF(S223="Over-7-day injury",C223+15,IF(OR(S223="Death",S223="Specified injury",S223="Member of public to hospital",S223="Dangerous occurrence"),C223+10,"")))</f>
        <v/>
      </c>
      <c r="V223" s="28" t="str">
        <f aca="true">IF(C223="","",IF(AH223="Void – logged in error","Void",IF(W223&lt;&gt;"","Done – reported",IF(S223="Occupational disease","REPORT NOW – on diagnosis",IF(ISNUMBER(U223),IF(U223&lt;TODAY(),"OVERDUE – report now",IF(U223=TODAY(),"DUE TODAY",IF(U223-TODAY()&lt;='Start here'!$C$7,"DUE in "&amp;(U223-TODAY())&amp;" days",IF(OR(S223="Death",S223="Specified injury",S223="Member of public to hospital",S223="Dangerous occurrence"),"REPORT without delay","Report by date shown")))),IF(AND(N(Q223)&gt;7,OR(S223="",S223="Not reportable",S223="Over-3-day injury (record only)")),"CHECK – over 7 days off",IF(S223="","Decide RIDDOR",IF(S223="Over-3-day injury (record only)","Record only","Not reportable"))))))))</f>
        <v/>
      </c>
      <c r="W223" s="30"/>
      <c r="X223" s="29"/>
      <c r="Y223" s="32"/>
      <c r="Z223" s="29"/>
      <c r="AA223" s="35"/>
      <c r="AB223" s="29"/>
      <c r="AC223" s="29"/>
      <c r="AD223" s="29"/>
      <c r="AE223" s="29"/>
      <c r="AF223" s="29"/>
      <c r="AG223" s="30"/>
      <c r="AH223" s="29"/>
      <c r="AI223" s="36" t="str">
        <f aca="true">IF(OR(C223="",AH223="Closed",AH223="Void – logged in error",AG223=""),"",IF(AG223&lt;TODAY(),"OVERDUE",IF(AG223-TODAY()&lt;='Start here'!$C$8,"Due soon","On track")))</f>
        <v/>
      </c>
      <c r="AJ223" s="29"/>
      <c r="AK223" s="29"/>
      <c r="AL223" s="30"/>
      <c r="AM223" s="37" t="str">
        <f aca="false">IF(AND(C223&lt;&gt;"",AH223&lt;&gt;"Closed",AH223&lt;&gt;"Void – logged in error",OR(AH223&lt;&gt;"",AD223&lt;&gt;"",AE223&lt;&gt;"",AF223&lt;&gt;"",AG223&lt;&gt;"")),ROW(),"")</f>
        <v/>
      </c>
    </row>
    <row r="224" customFormat="false" ht="30" hidden="false" customHeight="true" outlineLevel="0" collapsed="false">
      <c r="A224" s="28" t="str">
        <f aca="false">IF(C224="","","INC-"&amp;YEAR(C224)&amp;"-"&amp;TEXT(COUNTIFS($C$6:C224,"&gt;="&amp;DATE(YEAR(C224),1,1),$C$6:C224,"&lt;="&amp;DATE(YEAR(C224),12,31)),"000"))</f>
        <v/>
      </c>
      <c r="B224" s="29"/>
      <c r="C224" s="30"/>
      <c r="D224" s="31"/>
      <c r="E224" s="30"/>
      <c r="F224" s="29"/>
      <c r="G224" s="29"/>
      <c r="H224" s="29"/>
      <c r="I224" s="29"/>
      <c r="J224" s="29"/>
      <c r="K224" s="29"/>
      <c r="L224" s="29"/>
      <c r="M224" s="29"/>
      <c r="N224" s="29"/>
      <c r="O224" s="29"/>
      <c r="P224" s="29"/>
      <c r="Q224" s="32"/>
      <c r="R224" s="29"/>
      <c r="S224" s="29"/>
      <c r="T224" s="33" t="str">
        <f aca="false">IF(AH224="Void – logged in error","",IF(OR(C224="",S224=""),IF(C224="","","Decide"),IF(OR(S224="Not reportable",S224="Over-3-day injury (record only)"),"No","Yes")))</f>
        <v/>
      </c>
      <c r="U224" s="34" t="str">
        <f aca="false">IF(OR(C224="",S224=""),"",IF(S224="Over-7-day injury",C224+15,IF(OR(S224="Death",S224="Specified injury",S224="Member of public to hospital",S224="Dangerous occurrence"),C224+10,"")))</f>
        <v/>
      </c>
      <c r="V224" s="28" t="str">
        <f aca="true">IF(C224="","",IF(AH224="Void – logged in error","Void",IF(W224&lt;&gt;"","Done – reported",IF(S224="Occupational disease","REPORT NOW – on diagnosis",IF(ISNUMBER(U224),IF(U224&lt;TODAY(),"OVERDUE – report now",IF(U224=TODAY(),"DUE TODAY",IF(U224-TODAY()&lt;='Start here'!$C$7,"DUE in "&amp;(U224-TODAY())&amp;" days",IF(OR(S224="Death",S224="Specified injury",S224="Member of public to hospital",S224="Dangerous occurrence"),"REPORT without delay","Report by date shown")))),IF(AND(N(Q224)&gt;7,OR(S224="",S224="Not reportable",S224="Over-3-day injury (record only)")),"CHECK – over 7 days off",IF(S224="","Decide RIDDOR",IF(S224="Over-3-day injury (record only)","Record only","Not reportable"))))))))</f>
        <v/>
      </c>
      <c r="W224" s="30"/>
      <c r="X224" s="29"/>
      <c r="Y224" s="32"/>
      <c r="Z224" s="29"/>
      <c r="AA224" s="35"/>
      <c r="AB224" s="29"/>
      <c r="AC224" s="29"/>
      <c r="AD224" s="29"/>
      <c r="AE224" s="29"/>
      <c r="AF224" s="29"/>
      <c r="AG224" s="30"/>
      <c r="AH224" s="29"/>
      <c r="AI224" s="36" t="str">
        <f aca="true">IF(OR(C224="",AH224="Closed",AH224="Void – logged in error",AG224=""),"",IF(AG224&lt;TODAY(),"OVERDUE",IF(AG224-TODAY()&lt;='Start here'!$C$8,"Due soon","On track")))</f>
        <v/>
      </c>
      <c r="AJ224" s="29"/>
      <c r="AK224" s="29"/>
      <c r="AL224" s="30"/>
      <c r="AM224" s="37" t="str">
        <f aca="false">IF(AND(C224&lt;&gt;"",AH224&lt;&gt;"Closed",AH224&lt;&gt;"Void – logged in error",OR(AH224&lt;&gt;"",AD224&lt;&gt;"",AE224&lt;&gt;"",AF224&lt;&gt;"",AG224&lt;&gt;"")),ROW(),"")</f>
        <v/>
      </c>
    </row>
    <row r="225" customFormat="false" ht="30" hidden="false" customHeight="true" outlineLevel="0" collapsed="false">
      <c r="A225" s="28" t="str">
        <f aca="false">IF(C225="","","INC-"&amp;YEAR(C225)&amp;"-"&amp;TEXT(COUNTIFS($C$6:C225,"&gt;="&amp;DATE(YEAR(C225),1,1),$C$6:C225,"&lt;="&amp;DATE(YEAR(C225),12,31)),"000"))</f>
        <v/>
      </c>
      <c r="B225" s="29"/>
      <c r="C225" s="30"/>
      <c r="D225" s="31"/>
      <c r="E225" s="30"/>
      <c r="F225" s="29"/>
      <c r="G225" s="29"/>
      <c r="H225" s="29"/>
      <c r="I225" s="29"/>
      <c r="J225" s="29"/>
      <c r="K225" s="29"/>
      <c r="L225" s="29"/>
      <c r="M225" s="29"/>
      <c r="N225" s="29"/>
      <c r="O225" s="29"/>
      <c r="P225" s="29"/>
      <c r="Q225" s="32"/>
      <c r="R225" s="29"/>
      <c r="S225" s="29"/>
      <c r="T225" s="33" t="str">
        <f aca="false">IF(AH225="Void – logged in error","",IF(OR(C225="",S225=""),IF(C225="","","Decide"),IF(OR(S225="Not reportable",S225="Over-3-day injury (record only)"),"No","Yes")))</f>
        <v/>
      </c>
      <c r="U225" s="34" t="str">
        <f aca="false">IF(OR(C225="",S225=""),"",IF(S225="Over-7-day injury",C225+15,IF(OR(S225="Death",S225="Specified injury",S225="Member of public to hospital",S225="Dangerous occurrence"),C225+10,"")))</f>
        <v/>
      </c>
      <c r="V225" s="28" t="str">
        <f aca="true">IF(C225="","",IF(AH225="Void – logged in error","Void",IF(W225&lt;&gt;"","Done – reported",IF(S225="Occupational disease","REPORT NOW – on diagnosis",IF(ISNUMBER(U225),IF(U225&lt;TODAY(),"OVERDUE – report now",IF(U225=TODAY(),"DUE TODAY",IF(U225-TODAY()&lt;='Start here'!$C$7,"DUE in "&amp;(U225-TODAY())&amp;" days",IF(OR(S225="Death",S225="Specified injury",S225="Member of public to hospital",S225="Dangerous occurrence"),"REPORT without delay","Report by date shown")))),IF(AND(N(Q225)&gt;7,OR(S225="",S225="Not reportable",S225="Over-3-day injury (record only)")),"CHECK – over 7 days off",IF(S225="","Decide RIDDOR",IF(S225="Over-3-day injury (record only)","Record only","Not reportable"))))))))</f>
        <v/>
      </c>
      <c r="W225" s="30"/>
      <c r="X225" s="29"/>
      <c r="Y225" s="32"/>
      <c r="Z225" s="29"/>
      <c r="AA225" s="35"/>
      <c r="AB225" s="29"/>
      <c r="AC225" s="29"/>
      <c r="AD225" s="29"/>
      <c r="AE225" s="29"/>
      <c r="AF225" s="29"/>
      <c r="AG225" s="30"/>
      <c r="AH225" s="29"/>
      <c r="AI225" s="36" t="str">
        <f aca="true">IF(OR(C225="",AH225="Closed",AH225="Void – logged in error",AG225=""),"",IF(AG225&lt;TODAY(),"OVERDUE",IF(AG225-TODAY()&lt;='Start here'!$C$8,"Due soon","On track")))</f>
        <v/>
      </c>
      <c r="AJ225" s="29"/>
      <c r="AK225" s="29"/>
      <c r="AL225" s="30"/>
      <c r="AM225" s="37" t="str">
        <f aca="false">IF(AND(C225&lt;&gt;"",AH225&lt;&gt;"Closed",AH225&lt;&gt;"Void – logged in error",OR(AH225&lt;&gt;"",AD225&lt;&gt;"",AE225&lt;&gt;"",AF225&lt;&gt;"",AG225&lt;&gt;"")),ROW(),"")</f>
        <v/>
      </c>
    </row>
    <row r="226" customFormat="false" ht="30" hidden="false" customHeight="true" outlineLevel="0" collapsed="false">
      <c r="A226" s="28" t="str">
        <f aca="false">IF(C226="","","INC-"&amp;YEAR(C226)&amp;"-"&amp;TEXT(COUNTIFS($C$6:C226,"&gt;="&amp;DATE(YEAR(C226),1,1),$C$6:C226,"&lt;="&amp;DATE(YEAR(C226),12,31)),"000"))</f>
        <v/>
      </c>
      <c r="B226" s="29"/>
      <c r="C226" s="30"/>
      <c r="D226" s="31"/>
      <c r="E226" s="30"/>
      <c r="F226" s="29"/>
      <c r="G226" s="29"/>
      <c r="H226" s="29"/>
      <c r="I226" s="29"/>
      <c r="J226" s="29"/>
      <c r="K226" s="29"/>
      <c r="L226" s="29"/>
      <c r="M226" s="29"/>
      <c r="N226" s="29"/>
      <c r="O226" s="29"/>
      <c r="P226" s="29"/>
      <c r="Q226" s="32"/>
      <c r="R226" s="29"/>
      <c r="S226" s="29"/>
      <c r="T226" s="33" t="str">
        <f aca="false">IF(AH226="Void – logged in error","",IF(OR(C226="",S226=""),IF(C226="","","Decide"),IF(OR(S226="Not reportable",S226="Over-3-day injury (record only)"),"No","Yes")))</f>
        <v/>
      </c>
      <c r="U226" s="34" t="str">
        <f aca="false">IF(OR(C226="",S226=""),"",IF(S226="Over-7-day injury",C226+15,IF(OR(S226="Death",S226="Specified injury",S226="Member of public to hospital",S226="Dangerous occurrence"),C226+10,"")))</f>
        <v/>
      </c>
      <c r="V226" s="28" t="str">
        <f aca="true">IF(C226="","",IF(AH226="Void – logged in error","Void",IF(W226&lt;&gt;"","Done – reported",IF(S226="Occupational disease","REPORT NOW – on diagnosis",IF(ISNUMBER(U226),IF(U226&lt;TODAY(),"OVERDUE – report now",IF(U226=TODAY(),"DUE TODAY",IF(U226-TODAY()&lt;='Start here'!$C$7,"DUE in "&amp;(U226-TODAY())&amp;" days",IF(OR(S226="Death",S226="Specified injury",S226="Member of public to hospital",S226="Dangerous occurrence"),"REPORT without delay","Report by date shown")))),IF(AND(N(Q226)&gt;7,OR(S226="",S226="Not reportable",S226="Over-3-day injury (record only)")),"CHECK – over 7 days off",IF(S226="","Decide RIDDOR",IF(S226="Over-3-day injury (record only)","Record only","Not reportable"))))))))</f>
        <v/>
      </c>
      <c r="W226" s="30"/>
      <c r="X226" s="29"/>
      <c r="Y226" s="32"/>
      <c r="Z226" s="29"/>
      <c r="AA226" s="35"/>
      <c r="AB226" s="29"/>
      <c r="AC226" s="29"/>
      <c r="AD226" s="29"/>
      <c r="AE226" s="29"/>
      <c r="AF226" s="29"/>
      <c r="AG226" s="30"/>
      <c r="AH226" s="29"/>
      <c r="AI226" s="36" t="str">
        <f aca="true">IF(OR(C226="",AH226="Closed",AH226="Void – logged in error",AG226=""),"",IF(AG226&lt;TODAY(),"OVERDUE",IF(AG226-TODAY()&lt;='Start here'!$C$8,"Due soon","On track")))</f>
        <v/>
      </c>
      <c r="AJ226" s="29"/>
      <c r="AK226" s="29"/>
      <c r="AL226" s="30"/>
      <c r="AM226" s="37" t="str">
        <f aca="false">IF(AND(C226&lt;&gt;"",AH226&lt;&gt;"Closed",AH226&lt;&gt;"Void – logged in error",OR(AH226&lt;&gt;"",AD226&lt;&gt;"",AE226&lt;&gt;"",AF226&lt;&gt;"",AG226&lt;&gt;"")),ROW(),"")</f>
        <v/>
      </c>
    </row>
    <row r="227" customFormat="false" ht="30" hidden="false" customHeight="true" outlineLevel="0" collapsed="false">
      <c r="A227" s="28" t="str">
        <f aca="false">IF(C227="","","INC-"&amp;YEAR(C227)&amp;"-"&amp;TEXT(COUNTIFS($C$6:C227,"&gt;="&amp;DATE(YEAR(C227),1,1),$C$6:C227,"&lt;="&amp;DATE(YEAR(C227),12,31)),"000"))</f>
        <v/>
      </c>
      <c r="B227" s="29"/>
      <c r="C227" s="30"/>
      <c r="D227" s="31"/>
      <c r="E227" s="30"/>
      <c r="F227" s="29"/>
      <c r="G227" s="29"/>
      <c r="H227" s="29"/>
      <c r="I227" s="29"/>
      <c r="J227" s="29"/>
      <c r="K227" s="29"/>
      <c r="L227" s="29"/>
      <c r="M227" s="29"/>
      <c r="N227" s="29"/>
      <c r="O227" s="29"/>
      <c r="P227" s="29"/>
      <c r="Q227" s="32"/>
      <c r="R227" s="29"/>
      <c r="S227" s="29"/>
      <c r="T227" s="33" t="str">
        <f aca="false">IF(AH227="Void – logged in error","",IF(OR(C227="",S227=""),IF(C227="","","Decide"),IF(OR(S227="Not reportable",S227="Over-3-day injury (record only)"),"No","Yes")))</f>
        <v/>
      </c>
      <c r="U227" s="34" t="str">
        <f aca="false">IF(OR(C227="",S227=""),"",IF(S227="Over-7-day injury",C227+15,IF(OR(S227="Death",S227="Specified injury",S227="Member of public to hospital",S227="Dangerous occurrence"),C227+10,"")))</f>
        <v/>
      </c>
      <c r="V227" s="28" t="str">
        <f aca="true">IF(C227="","",IF(AH227="Void – logged in error","Void",IF(W227&lt;&gt;"","Done – reported",IF(S227="Occupational disease","REPORT NOW – on diagnosis",IF(ISNUMBER(U227),IF(U227&lt;TODAY(),"OVERDUE – report now",IF(U227=TODAY(),"DUE TODAY",IF(U227-TODAY()&lt;='Start here'!$C$7,"DUE in "&amp;(U227-TODAY())&amp;" days",IF(OR(S227="Death",S227="Specified injury",S227="Member of public to hospital",S227="Dangerous occurrence"),"REPORT without delay","Report by date shown")))),IF(AND(N(Q227)&gt;7,OR(S227="",S227="Not reportable",S227="Over-3-day injury (record only)")),"CHECK – over 7 days off",IF(S227="","Decide RIDDOR",IF(S227="Over-3-day injury (record only)","Record only","Not reportable"))))))))</f>
        <v/>
      </c>
      <c r="W227" s="30"/>
      <c r="X227" s="29"/>
      <c r="Y227" s="32"/>
      <c r="Z227" s="29"/>
      <c r="AA227" s="35"/>
      <c r="AB227" s="29"/>
      <c r="AC227" s="29"/>
      <c r="AD227" s="29"/>
      <c r="AE227" s="29"/>
      <c r="AF227" s="29"/>
      <c r="AG227" s="30"/>
      <c r="AH227" s="29"/>
      <c r="AI227" s="36" t="str">
        <f aca="true">IF(OR(C227="",AH227="Closed",AH227="Void – logged in error",AG227=""),"",IF(AG227&lt;TODAY(),"OVERDUE",IF(AG227-TODAY()&lt;='Start here'!$C$8,"Due soon","On track")))</f>
        <v/>
      </c>
      <c r="AJ227" s="29"/>
      <c r="AK227" s="29"/>
      <c r="AL227" s="30"/>
      <c r="AM227" s="37" t="str">
        <f aca="false">IF(AND(C227&lt;&gt;"",AH227&lt;&gt;"Closed",AH227&lt;&gt;"Void – logged in error",OR(AH227&lt;&gt;"",AD227&lt;&gt;"",AE227&lt;&gt;"",AF227&lt;&gt;"",AG227&lt;&gt;"")),ROW(),"")</f>
        <v/>
      </c>
    </row>
    <row r="228" customFormat="false" ht="30" hidden="false" customHeight="true" outlineLevel="0" collapsed="false">
      <c r="A228" s="28" t="str">
        <f aca="false">IF(C228="","","INC-"&amp;YEAR(C228)&amp;"-"&amp;TEXT(COUNTIFS($C$6:C228,"&gt;="&amp;DATE(YEAR(C228),1,1),$C$6:C228,"&lt;="&amp;DATE(YEAR(C228),12,31)),"000"))</f>
        <v/>
      </c>
      <c r="B228" s="29"/>
      <c r="C228" s="30"/>
      <c r="D228" s="31"/>
      <c r="E228" s="30"/>
      <c r="F228" s="29"/>
      <c r="G228" s="29"/>
      <c r="H228" s="29"/>
      <c r="I228" s="29"/>
      <c r="J228" s="29"/>
      <c r="K228" s="29"/>
      <c r="L228" s="29"/>
      <c r="M228" s="29"/>
      <c r="N228" s="29"/>
      <c r="O228" s="29"/>
      <c r="P228" s="29"/>
      <c r="Q228" s="32"/>
      <c r="R228" s="29"/>
      <c r="S228" s="29"/>
      <c r="T228" s="33" t="str">
        <f aca="false">IF(AH228="Void – logged in error","",IF(OR(C228="",S228=""),IF(C228="","","Decide"),IF(OR(S228="Not reportable",S228="Over-3-day injury (record only)"),"No","Yes")))</f>
        <v/>
      </c>
      <c r="U228" s="34" t="str">
        <f aca="false">IF(OR(C228="",S228=""),"",IF(S228="Over-7-day injury",C228+15,IF(OR(S228="Death",S228="Specified injury",S228="Member of public to hospital",S228="Dangerous occurrence"),C228+10,"")))</f>
        <v/>
      </c>
      <c r="V228" s="28" t="str">
        <f aca="true">IF(C228="","",IF(AH228="Void – logged in error","Void",IF(W228&lt;&gt;"","Done – reported",IF(S228="Occupational disease","REPORT NOW – on diagnosis",IF(ISNUMBER(U228),IF(U228&lt;TODAY(),"OVERDUE – report now",IF(U228=TODAY(),"DUE TODAY",IF(U228-TODAY()&lt;='Start here'!$C$7,"DUE in "&amp;(U228-TODAY())&amp;" days",IF(OR(S228="Death",S228="Specified injury",S228="Member of public to hospital",S228="Dangerous occurrence"),"REPORT without delay","Report by date shown")))),IF(AND(N(Q228)&gt;7,OR(S228="",S228="Not reportable",S228="Over-3-day injury (record only)")),"CHECK – over 7 days off",IF(S228="","Decide RIDDOR",IF(S228="Over-3-day injury (record only)","Record only","Not reportable"))))))))</f>
        <v/>
      </c>
      <c r="W228" s="30"/>
      <c r="X228" s="29"/>
      <c r="Y228" s="32"/>
      <c r="Z228" s="29"/>
      <c r="AA228" s="35"/>
      <c r="AB228" s="29"/>
      <c r="AC228" s="29"/>
      <c r="AD228" s="29"/>
      <c r="AE228" s="29"/>
      <c r="AF228" s="29"/>
      <c r="AG228" s="30"/>
      <c r="AH228" s="29"/>
      <c r="AI228" s="36" t="str">
        <f aca="true">IF(OR(C228="",AH228="Closed",AH228="Void – logged in error",AG228=""),"",IF(AG228&lt;TODAY(),"OVERDUE",IF(AG228-TODAY()&lt;='Start here'!$C$8,"Due soon","On track")))</f>
        <v/>
      </c>
      <c r="AJ228" s="29"/>
      <c r="AK228" s="29"/>
      <c r="AL228" s="30"/>
      <c r="AM228" s="37" t="str">
        <f aca="false">IF(AND(C228&lt;&gt;"",AH228&lt;&gt;"Closed",AH228&lt;&gt;"Void – logged in error",OR(AH228&lt;&gt;"",AD228&lt;&gt;"",AE228&lt;&gt;"",AF228&lt;&gt;"",AG228&lt;&gt;"")),ROW(),"")</f>
        <v/>
      </c>
    </row>
    <row r="229" customFormat="false" ht="30" hidden="false" customHeight="true" outlineLevel="0" collapsed="false">
      <c r="A229" s="28" t="str">
        <f aca="false">IF(C229="","","INC-"&amp;YEAR(C229)&amp;"-"&amp;TEXT(COUNTIFS($C$6:C229,"&gt;="&amp;DATE(YEAR(C229),1,1),$C$6:C229,"&lt;="&amp;DATE(YEAR(C229),12,31)),"000"))</f>
        <v/>
      </c>
      <c r="B229" s="29"/>
      <c r="C229" s="30"/>
      <c r="D229" s="31"/>
      <c r="E229" s="30"/>
      <c r="F229" s="29"/>
      <c r="G229" s="29"/>
      <c r="H229" s="29"/>
      <c r="I229" s="29"/>
      <c r="J229" s="29"/>
      <c r="K229" s="29"/>
      <c r="L229" s="29"/>
      <c r="M229" s="29"/>
      <c r="N229" s="29"/>
      <c r="O229" s="29"/>
      <c r="P229" s="29"/>
      <c r="Q229" s="32"/>
      <c r="R229" s="29"/>
      <c r="S229" s="29"/>
      <c r="T229" s="33" t="str">
        <f aca="false">IF(AH229="Void – logged in error","",IF(OR(C229="",S229=""),IF(C229="","","Decide"),IF(OR(S229="Not reportable",S229="Over-3-day injury (record only)"),"No","Yes")))</f>
        <v/>
      </c>
      <c r="U229" s="34" t="str">
        <f aca="false">IF(OR(C229="",S229=""),"",IF(S229="Over-7-day injury",C229+15,IF(OR(S229="Death",S229="Specified injury",S229="Member of public to hospital",S229="Dangerous occurrence"),C229+10,"")))</f>
        <v/>
      </c>
      <c r="V229" s="28" t="str">
        <f aca="true">IF(C229="","",IF(AH229="Void – logged in error","Void",IF(W229&lt;&gt;"","Done – reported",IF(S229="Occupational disease","REPORT NOW – on diagnosis",IF(ISNUMBER(U229),IF(U229&lt;TODAY(),"OVERDUE – report now",IF(U229=TODAY(),"DUE TODAY",IF(U229-TODAY()&lt;='Start here'!$C$7,"DUE in "&amp;(U229-TODAY())&amp;" days",IF(OR(S229="Death",S229="Specified injury",S229="Member of public to hospital",S229="Dangerous occurrence"),"REPORT without delay","Report by date shown")))),IF(AND(N(Q229)&gt;7,OR(S229="",S229="Not reportable",S229="Over-3-day injury (record only)")),"CHECK – over 7 days off",IF(S229="","Decide RIDDOR",IF(S229="Over-3-day injury (record only)","Record only","Not reportable"))))))))</f>
        <v/>
      </c>
      <c r="W229" s="30"/>
      <c r="X229" s="29"/>
      <c r="Y229" s="32"/>
      <c r="Z229" s="29"/>
      <c r="AA229" s="35"/>
      <c r="AB229" s="29"/>
      <c r="AC229" s="29"/>
      <c r="AD229" s="29"/>
      <c r="AE229" s="29"/>
      <c r="AF229" s="29"/>
      <c r="AG229" s="30"/>
      <c r="AH229" s="29"/>
      <c r="AI229" s="36" t="str">
        <f aca="true">IF(OR(C229="",AH229="Closed",AH229="Void – logged in error",AG229=""),"",IF(AG229&lt;TODAY(),"OVERDUE",IF(AG229-TODAY()&lt;='Start here'!$C$8,"Due soon","On track")))</f>
        <v/>
      </c>
      <c r="AJ229" s="29"/>
      <c r="AK229" s="29"/>
      <c r="AL229" s="30"/>
      <c r="AM229" s="37" t="str">
        <f aca="false">IF(AND(C229&lt;&gt;"",AH229&lt;&gt;"Closed",AH229&lt;&gt;"Void – logged in error",OR(AH229&lt;&gt;"",AD229&lt;&gt;"",AE229&lt;&gt;"",AF229&lt;&gt;"",AG229&lt;&gt;"")),ROW(),"")</f>
        <v/>
      </c>
    </row>
    <row r="230" customFormat="false" ht="30" hidden="false" customHeight="true" outlineLevel="0" collapsed="false">
      <c r="A230" s="28" t="str">
        <f aca="false">IF(C230="","","INC-"&amp;YEAR(C230)&amp;"-"&amp;TEXT(COUNTIFS($C$6:C230,"&gt;="&amp;DATE(YEAR(C230),1,1),$C$6:C230,"&lt;="&amp;DATE(YEAR(C230),12,31)),"000"))</f>
        <v/>
      </c>
      <c r="B230" s="29"/>
      <c r="C230" s="30"/>
      <c r="D230" s="31"/>
      <c r="E230" s="30"/>
      <c r="F230" s="29"/>
      <c r="G230" s="29"/>
      <c r="H230" s="29"/>
      <c r="I230" s="29"/>
      <c r="J230" s="29"/>
      <c r="K230" s="29"/>
      <c r="L230" s="29"/>
      <c r="M230" s="29"/>
      <c r="N230" s="29"/>
      <c r="O230" s="29"/>
      <c r="P230" s="29"/>
      <c r="Q230" s="32"/>
      <c r="R230" s="29"/>
      <c r="S230" s="29"/>
      <c r="T230" s="33" t="str">
        <f aca="false">IF(AH230="Void – logged in error","",IF(OR(C230="",S230=""),IF(C230="","","Decide"),IF(OR(S230="Not reportable",S230="Over-3-day injury (record only)"),"No","Yes")))</f>
        <v/>
      </c>
      <c r="U230" s="34" t="str">
        <f aca="false">IF(OR(C230="",S230=""),"",IF(S230="Over-7-day injury",C230+15,IF(OR(S230="Death",S230="Specified injury",S230="Member of public to hospital",S230="Dangerous occurrence"),C230+10,"")))</f>
        <v/>
      </c>
      <c r="V230" s="28" t="str">
        <f aca="true">IF(C230="","",IF(AH230="Void – logged in error","Void",IF(W230&lt;&gt;"","Done – reported",IF(S230="Occupational disease","REPORT NOW – on diagnosis",IF(ISNUMBER(U230),IF(U230&lt;TODAY(),"OVERDUE – report now",IF(U230=TODAY(),"DUE TODAY",IF(U230-TODAY()&lt;='Start here'!$C$7,"DUE in "&amp;(U230-TODAY())&amp;" days",IF(OR(S230="Death",S230="Specified injury",S230="Member of public to hospital",S230="Dangerous occurrence"),"REPORT without delay","Report by date shown")))),IF(AND(N(Q230)&gt;7,OR(S230="",S230="Not reportable",S230="Over-3-day injury (record only)")),"CHECK – over 7 days off",IF(S230="","Decide RIDDOR",IF(S230="Over-3-day injury (record only)","Record only","Not reportable"))))))))</f>
        <v/>
      </c>
      <c r="W230" s="30"/>
      <c r="X230" s="29"/>
      <c r="Y230" s="32"/>
      <c r="Z230" s="29"/>
      <c r="AA230" s="35"/>
      <c r="AB230" s="29"/>
      <c r="AC230" s="29"/>
      <c r="AD230" s="29"/>
      <c r="AE230" s="29"/>
      <c r="AF230" s="29"/>
      <c r="AG230" s="30"/>
      <c r="AH230" s="29"/>
      <c r="AI230" s="36" t="str">
        <f aca="true">IF(OR(C230="",AH230="Closed",AH230="Void – logged in error",AG230=""),"",IF(AG230&lt;TODAY(),"OVERDUE",IF(AG230-TODAY()&lt;='Start here'!$C$8,"Due soon","On track")))</f>
        <v/>
      </c>
      <c r="AJ230" s="29"/>
      <c r="AK230" s="29"/>
      <c r="AL230" s="30"/>
      <c r="AM230" s="37" t="str">
        <f aca="false">IF(AND(C230&lt;&gt;"",AH230&lt;&gt;"Closed",AH230&lt;&gt;"Void – logged in error",OR(AH230&lt;&gt;"",AD230&lt;&gt;"",AE230&lt;&gt;"",AF230&lt;&gt;"",AG230&lt;&gt;"")),ROW(),"")</f>
        <v/>
      </c>
    </row>
    <row r="231" customFormat="false" ht="30" hidden="false" customHeight="true" outlineLevel="0" collapsed="false">
      <c r="A231" s="28" t="str">
        <f aca="false">IF(C231="","","INC-"&amp;YEAR(C231)&amp;"-"&amp;TEXT(COUNTIFS($C$6:C231,"&gt;="&amp;DATE(YEAR(C231),1,1),$C$6:C231,"&lt;="&amp;DATE(YEAR(C231),12,31)),"000"))</f>
        <v/>
      </c>
      <c r="B231" s="29"/>
      <c r="C231" s="30"/>
      <c r="D231" s="31"/>
      <c r="E231" s="30"/>
      <c r="F231" s="29"/>
      <c r="G231" s="29"/>
      <c r="H231" s="29"/>
      <c r="I231" s="29"/>
      <c r="J231" s="29"/>
      <c r="K231" s="29"/>
      <c r="L231" s="29"/>
      <c r="M231" s="29"/>
      <c r="N231" s="29"/>
      <c r="O231" s="29"/>
      <c r="P231" s="29"/>
      <c r="Q231" s="32"/>
      <c r="R231" s="29"/>
      <c r="S231" s="29"/>
      <c r="T231" s="33" t="str">
        <f aca="false">IF(AH231="Void – logged in error","",IF(OR(C231="",S231=""),IF(C231="","","Decide"),IF(OR(S231="Not reportable",S231="Over-3-day injury (record only)"),"No","Yes")))</f>
        <v/>
      </c>
      <c r="U231" s="34" t="str">
        <f aca="false">IF(OR(C231="",S231=""),"",IF(S231="Over-7-day injury",C231+15,IF(OR(S231="Death",S231="Specified injury",S231="Member of public to hospital",S231="Dangerous occurrence"),C231+10,"")))</f>
        <v/>
      </c>
      <c r="V231" s="28" t="str">
        <f aca="true">IF(C231="","",IF(AH231="Void – logged in error","Void",IF(W231&lt;&gt;"","Done – reported",IF(S231="Occupational disease","REPORT NOW – on diagnosis",IF(ISNUMBER(U231),IF(U231&lt;TODAY(),"OVERDUE – report now",IF(U231=TODAY(),"DUE TODAY",IF(U231-TODAY()&lt;='Start here'!$C$7,"DUE in "&amp;(U231-TODAY())&amp;" days",IF(OR(S231="Death",S231="Specified injury",S231="Member of public to hospital",S231="Dangerous occurrence"),"REPORT without delay","Report by date shown")))),IF(AND(N(Q231)&gt;7,OR(S231="",S231="Not reportable",S231="Over-3-day injury (record only)")),"CHECK – over 7 days off",IF(S231="","Decide RIDDOR",IF(S231="Over-3-day injury (record only)","Record only","Not reportable"))))))))</f>
        <v/>
      </c>
      <c r="W231" s="30"/>
      <c r="X231" s="29"/>
      <c r="Y231" s="32"/>
      <c r="Z231" s="29"/>
      <c r="AA231" s="35"/>
      <c r="AB231" s="29"/>
      <c r="AC231" s="29"/>
      <c r="AD231" s="29"/>
      <c r="AE231" s="29"/>
      <c r="AF231" s="29"/>
      <c r="AG231" s="30"/>
      <c r="AH231" s="29"/>
      <c r="AI231" s="36" t="str">
        <f aca="true">IF(OR(C231="",AH231="Closed",AH231="Void – logged in error",AG231=""),"",IF(AG231&lt;TODAY(),"OVERDUE",IF(AG231-TODAY()&lt;='Start here'!$C$8,"Due soon","On track")))</f>
        <v/>
      </c>
      <c r="AJ231" s="29"/>
      <c r="AK231" s="29"/>
      <c r="AL231" s="30"/>
      <c r="AM231" s="37" t="str">
        <f aca="false">IF(AND(C231&lt;&gt;"",AH231&lt;&gt;"Closed",AH231&lt;&gt;"Void – logged in error",OR(AH231&lt;&gt;"",AD231&lt;&gt;"",AE231&lt;&gt;"",AF231&lt;&gt;"",AG231&lt;&gt;"")),ROW(),"")</f>
        <v/>
      </c>
    </row>
    <row r="232" customFormat="false" ht="30" hidden="false" customHeight="true" outlineLevel="0" collapsed="false">
      <c r="A232" s="28" t="str">
        <f aca="false">IF(C232="","","INC-"&amp;YEAR(C232)&amp;"-"&amp;TEXT(COUNTIFS($C$6:C232,"&gt;="&amp;DATE(YEAR(C232),1,1),$C$6:C232,"&lt;="&amp;DATE(YEAR(C232),12,31)),"000"))</f>
        <v/>
      </c>
      <c r="B232" s="29"/>
      <c r="C232" s="30"/>
      <c r="D232" s="31"/>
      <c r="E232" s="30"/>
      <c r="F232" s="29"/>
      <c r="G232" s="29"/>
      <c r="H232" s="29"/>
      <c r="I232" s="29"/>
      <c r="J232" s="29"/>
      <c r="K232" s="29"/>
      <c r="L232" s="29"/>
      <c r="M232" s="29"/>
      <c r="N232" s="29"/>
      <c r="O232" s="29"/>
      <c r="P232" s="29"/>
      <c r="Q232" s="32"/>
      <c r="R232" s="29"/>
      <c r="S232" s="29"/>
      <c r="T232" s="33" t="str">
        <f aca="false">IF(AH232="Void – logged in error","",IF(OR(C232="",S232=""),IF(C232="","","Decide"),IF(OR(S232="Not reportable",S232="Over-3-day injury (record only)"),"No","Yes")))</f>
        <v/>
      </c>
      <c r="U232" s="34" t="str">
        <f aca="false">IF(OR(C232="",S232=""),"",IF(S232="Over-7-day injury",C232+15,IF(OR(S232="Death",S232="Specified injury",S232="Member of public to hospital",S232="Dangerous occurrence"),C232+10,"")))</f>
        <v/>
      </c>
      <c r="V232" s="28" t="str">
        <f aca="true">IF(C232="","",IF(AH232="Void – logged in error","Void",IF(W232&lt;&gt;"","Done – reported",IF(S232="Occupational disease","REPORT NOW – on diagnosis",IF(ISNUMBER(U232),IF(U232&lt;TODAY(),"OVERDUE – report now",IF(U232=TODAY(),"DUE TODAY",IF(U232-TODAY()&lt;='Start here'!$C$7,"DUE in "&amp;(U232-TODAY())&amp;" days",IF(OR(S232="Death",S232="Specified injury",S232="Member of public to hospital",S232="Dangerous occurrence"),"REPORT without delay","Report by date shown")))),IF(AND(N(Q232)&gt;7,OR(S232="",S232="Not reportable",S232="Over-3-day injury (record only)")),"CHECK – over 7 days off",IF(S232="","Decide RIDDOR",IF(S232="Over-3-day injury (record only)","Record only","Not reportable"))))))))</f>
        <v/>
      </c>
      <c r="W232" s="30"/>
      <c r="X232" s="29"/>
      <c r="Y232" s="32"/>
      <c r="Z232" s="29"/>
      <c r="AA232" s="35"/>
      <c r="AB232" s="29"/>
      <c r="AC232" s="29"/>
      <c r="AD232" s="29"/>
      <c r="AE232" s="29"/>
      <c r="AF232" s="29"/>
      <c r="AG232" s="30"/>
      <c r="AH232" s="29"/>
      <c r="AI232" s="36" t="str">
        <f aca="true">IF(OR(C232="",AH232="Closed",AH232="Void – logged in error",AG232=""),"",IF(AG232&lt;TODAY(),"OVERDUE",IF(AG232-TODAY()&lt;='Start here'!$C$8,"Due soon","On track")))</f>
        <v/>
      </c>
      <c r="AJ232" s="29"/>
      <c r="AK232" s="29"/>
      <c r="AL232" s="30"/>
      <c r="AM232" s="37" t="str">
        <f aca="false">IF(AND(C232&lt;&gt;"",AH232&lt;&gt;"Closed",AH232&lt;&gt;"Void – logged in error",OR(AH232&lt;&gt;"",AD232&lt;&gt;"",AE232&lt;&gt;"",AF232&lt;&gt;"",AG232&lt;&gt;"")),ROW(),"")</f>
        <v/>
      </c>
    </row>
    <row r="233" customFormat="false" ht="30" hidden="false" customHeight="true" outlineLevel="0" collapsed="false">
      <c r="A233" s="28" t="str">
        <f aca="false">IF(C233="","","INC-"&amp;YEAR(C233)&amp;"-"&amp;TEXT(COUNTIFS($C$6:C233,"&gt;="&amp;DATE(YEAR(C233),1,1),$C$6:C233,"&lt;="&amp;DATE(YEAR(C233),12,31)),"000"))</f>
        <v/>
      </c>
      <c r="B233" s="29"/>
      <c r="C233" s="30"/>
      <c r="D233" s="31"/>
      <c r="E233" s="30"/>
      <c r="F233" s="29"/>
      <c r="G233" s="29"/>
      <c r="H233" s="29"/>
      <c r="I233" s="29"/>
      <c r="J233" s="29"/>
      <c r="K233" s="29"/>
      <c r="L233" s="29"/>
      <c r="M233" s="29"/>
      <c r="N233" s="29"/>
      <c r="O233" s="29"/>
      <c r="P233" s="29"/>
      <c r="Q233" s="32"/>
      <c r="R233" s="29"/>
      <c r="S233" s="29"/>
      <c r="T233" s="33" t="str">
        <f aca="false">IF(AH233="Void – logged in error","",IF(OR(C233="",S233=""),IF(C233="","","Decide"),IF(OR(S233="Not reportable",S233="Over-3-day injury (record only)"),"No","Yes")))</f>
        <v/>
      </c>
      <c r="U233" s="34" t="str">
        <f aca="false">IF(OR(C233="",S233=""),"",IF(S233="Over-7-day injury",C233+15,IF(OR(S233="Death",S233="Specified injury",S233="Member of public to hospital",S233="Dangerous occurrence"),C233+10,"")))</f>
        <v/>
      </c>
      <c r="V233" s="28" t="str">
        <f aca="true">IF(C233="","",IF(AH233="Void – logged in error","Void",IF(W233&lt;&gt;"","Done – reported",IF(S233="Occupational disease","REPORT NOW – on diagnosis",IF(ISNUMBER(U233),IF(U233&lt;TODAY(),"OVERDUE – report now",IF(U233=TODAY(),"DUE TODAY",IF(U233-TODAY()&lt;='Start here'!$C$7,"DUE in "&amp;(U233-TODAY())&amp;" days",IF(OR(S233="Death",S233="Specified injury",S233="Member of public to hospital",S233="Dangerous occurrence"),"REPORT without delay","Report by date shown")))),IF(AND(N(Q233)&gt;7,OR(S233="",S233="Not reportable",S233="Over-3-day injury (record only)")),"CHECK – over 7 days off",IF(S233="","Decide RIDDOR",IF(S233="Over-3-day injury (record only)","Record only","Not reportable"))))))))</f>
        <v/>
      </c>
      <c r="W233" s="30"/>
      <c r="X233" s="29"/>
      <c r="Y233" s="32"/>
      <c r="Z233" s="29"/>
      <c r="AA233" s="35"/>
      <c r="AB233" s="29"/>
      <c r="AC233" s="29"/>
      <c r="AD233" s="29"/>
      <c r="AE233" s="29"/>
      <c r="AF233" s="29"/>
      <c r="AG233" s="30"/>
      <c r="AH233" s="29"/>
      <c r="AI233" s="36" t="str">
        <f aca="true">IF(OR(C233="",AH233="Closed",AH233="Void – logged in error",AG233=""),"",IF(AG233&lt;TODAY(),"OVERDUE",IF(AG233-TODAY()&lt;='Start here'!$C$8,"Due soon","On track")))</f>
        <v/>
      </c>
      <c r="AJ233" s="29"/>
      <c r="AK233" s="29"/>
      <c r="AL233" s="30"/>
      <c r="AM233" s="37" t="str">
        <f aca="false">IF(AND(C233&lt;&gt;"",AH233&lt;&gt;"Closed",AH233&lt;&gt;"Void – logged in error",OR(AH233&lt;&gt;"",AD233&lt;&gt;"",AE233&lt;&gt;"",AF233&lt;&gt;"",AG233&lt;&gt;"")),ROW(),"")</f>
        <v/>
      </c>
    </row>
    <row r="234" customFormat="false" ht="30" hidden="false" customHeight="true" outlineLevel="0" collapsed="false">
      <c r="A234" s="28" t="str">
        <f aca="false">IF(C234="","","INC-"&amp;YEAR(C234)&amp;"-"&amp;TEXT(COUNTIFS($C$6:C234,"&gt;="&amp;DATE(YEAR(C234),1,1),$C$6:C234,"&lt;="&amp;DATE(YEAR(C234),12,31)),"000"))</f>
        <v/>
      </c>
      <c r="B234" s="29"/>
      <c r="C234" s="30"/>
      <c r="D234" s="31"/>
      <c r="E234" s="30"/>
      <c r="F234" s="29"/>
      <c r="G234" s="29"/>
      <c r="H234" s="29"/>
      <c r="I234" s="29"/>
      <c r="J234" s="29"/>
      <c r="K234" s="29"/>
      <c r="L234" s="29"/>
      <c r="M234" s="29"/>
      <c r="N234" s="29"/>
      <c r="O234" s="29"/>
      <c r="P234" s="29"/>
      <c r="Q234" s="32"/>
      <c r="R234" s="29"/>
      <c r="S234" s="29"/>
      <c r="T234" s="33" t="str">
        <f aca="false">IF(AH234="Void – logged in error","",IF(OR(C234="",S234=""),IF(C234="","","Decide"),IF(OR(S234="Not reportable",S234="Over-3-day injury (record only)"),"No","Yes")))</f>
        <v/>
      </c>
      <c r="U234" s="34" t="str">
        <f aca="false">IF(OR(C234="",S234=""),"",IF(S234="Over-7-day injury",C234+15,IF(OR(S234="Death",S234="Specified injury",S234="Member of public to hospital",S234="Dangerous occurrence"),C234+10,"")))</f>
        <v/>
      </c>
      <c r="V234" s="28" t="str">
        <f aca="true">IF(C234="","",IF(AH234="Void – logged in error","Void",IF(W234&lt;&gt;"","Done – reported",IF(S234="Occupational disease","REPORT NOW – on diagnosis",IF(ISNUMBER(U234),IF(U234&lt;TODAY(),"OVERDUE – report now",IF(U234=TODAY(),"DUE TODAY",IF(U234-TODAY()&lt;='Start here'!$C$7,"DUE in "&amp;(U234-TODAY())&amp;" days",IF(OR(S234="Death",S234="Specified injury",S234="Member of public to hospital",S234="Dangerous occurrence"),"REPORT without delay","Report by date shown")))),IF(AND(N(Q234)&gt;7,OR(S234="",S234="Not reportable",S234="Over-3-day injury (record only)")),"CHECK – over 7 days off",IF(S234="","Decide RIDDOR",IF(S234="Over-3-day injury (record only)","Record only","Not reportable"))))))))</f>
        <v/>
      </c>
      <c r="W234" s="30"/>
      <c r="X234" s="29"/>
      <c r="Y234" s="32"/>
      <c r="Z234" s="29"/>
      <c r="AA234" s="35"/>
      <c r="AB234" s="29"/>
      <c r="AC234" s="29"/>
      <c r="AD234" s="29"/>
      <c r="AE234" s="29"/>
      <c r="AF234" s="29"/>
      <c r="AG234" s="30"/>
      <c r="AH234" s="29"/>
      <c r="AI234" s="36" t="str">
        <f aca="true">IF(OR(C234="",AH234="Closed",AH234="Void – logged in error",AG234=""),"",IF(AG234&lt;TODAY(),"OVERDUE",IF(AG234-TODAY()&lt;='Start here'!$C$8,"Due soon","On track")))</f>
        <v/>
      </c>
      <c r="AJ234" s="29"/>
      <c r="AK234" s="29"/>
      <c r="AL234" s="30"/>
      <c r="AM234" s="37" t="str">
        <f aca="false">IF(AND(C234&lt;&gt;"",AH234&lt;&gt;"Closed",AH234&lt;&gt;"Void – logged in error",OR(AH234&lt;&gt;"",AD234&lt;&gt;"",AE234&lt;&gt;"",AF234&lt;&gt;"",AG234&lt;&gt;"")),ROW(),"")</f>
        <v/>
      </c>
    </row>
    <row r="235" customFormat="false" ht="30" hidden="false" customHeight="true" outlineLevel="0" collapsed="false">
      <c r="A235" s="28" t="str">
        <f aca="false">IF(C235="","","INC-"&amp;YEAR(C235)&amp;"-"&amp;TEXT(COUNTIFS($C$6:C235,"&gt;="&amp;DATE(YEAR(C235),1,1),$C$6:C235,"&lt;="&amp;DATE(YEAR(C235),12,31)),"000"))</f>
        <v/>
      </c>
      <c r="B235" s="29"/>
      <c r="C235" s="30"/>
      <c r="D235" s="31"/>
      <c r="E235" s="30"/>
      <c r="F235" s="29"/>
      <c r="G235" s="29"/>
      <c r="H235" s="29"/>
      <c r="I235" s="29"/>
      <c r="J235" s="29"/>
      <c r="K235" s="29"/>
      <c r="L235" s="29"/>
      <c r="M235" s="29"/>
      <c r="N235" s="29"/>
      <c r="O235" s="29"/>
      <c r="P235" s="29"/>
      <c r="Q235" s="32"/>
      <c r="R235" s="29"/>
      <c r="S235" s="29"/>
      <c r="T235" s="33" t="str">
        <f aca="false">IF(AH235="Void – logged in error","",IF(OR(C235="",S235=""),IF(C235="","","Decide"),IF(OR(S235="Not reportable",S235="Over-3-day injury (record only)"),"No","Yes")))</f>
        <v/>
      </c>
      <c r="U235" s="34" t="str">
        <f aca="false">IF(OR(C235="",S235=""),"",IF(S235="Over-7-day injury",C235+15,IF(OR(S235="Death",S235="Specified injury",S235="Member of public to hospital",S235="Dangerous occurrence"),C235+10,"")))</f>
        <v/>
      </c>
      <c r="V235" s="28" t="str">
        <f aca="true">IF(C235="","",IF(AH235="Void – logged in error","Void",IF(W235&lt;&gt;"","Done – reported",IF(S235="Occupational disease","REPORT NOW – on diagnosis",IF(ISNUMBER(U235),IF(U235&lt;TODAY(),"OVERDUE – report now",IF(U235=TODAY(),"DUE TODAY",IF(U235-TODAY()&lt;='Start here'!$C$7,"DUE in "&amp;(U235-TODAY())&amp;" days",IF(OR(S235="Death",S235="Specified injury",S235="Member of public to hospital",S235="Dangerous occurrence"),"REPORT without delay","Report by date shown")))),IF(AND(N(Q235)&gt;7,OR(S235="",S235="Not reportable",S235="Over-3-day injury (record only)")),"CHECK – over 7 days off",IF(S235="","Decide RIDDOR",IF(S235="Over-3-day injury (record only)","Record only","Not reportable"))))))))</f>
        <v/>
      </c>
      <c r="W235" s="30"/>
      <c r="X235" s="29"/>
      <c r="Y235" s="32"/>
      <c r="Z235" s="29"/>
      <c r="AA235" s="35"/>
      <c r="AB235" s="29"/>
      <c r="AC235" s="29"/>
      <c r="AD235" s="29"/>
      <c r="AE235" s="29"/>
      <c r="AF235" s="29"/>
      <c r="AG235" s="30"/>
      <c r="AH235" s="29"/>
      <c r="AI235" s="36" t="str">
        <f aca="true">IF(OR(C235="",AH235="Closed",AH235="Void – logged in error",AG235=""),"",IF(AG235&lt;TODAY(),"OVERDUE",IF(AG235-TODAY()&lt;='Start here'!$C$8,"Due soon","On track")))</f>
        <v/>
      </c>
      <c r="AJ235" s="29"/>
      <c r="AK235" s="29"/>
      <c r="AL235" s="30"/>
      <c r="AM235" s="37" t="str">
        <f aca="false">IF(AND(C235&lt;&gt;"",AH235&lt;&gt;"Closed",AH235&lt;&gt;"Void – logged in error",OR(AH235&lt;&gt;"",AD235&lt;&gt;"",AE235&lt;&gt;"",AF235&lt;&gt;"",AG235&lt;&gt;"")),ROW(),"")</f>
        <v/>
      </c>
    </row>
    <row r="236" customFormat="false" ht="30" hidden="false" customHeight="true" outlineLevel="0" collapsed="false">
      <c r="A236" s="28" t="str">
        <f aca="false">IF(C236="","","INC-"&amp;YEAR(C236)&amp;"-"&amp;TEXT(COUNTIFS($C$6:C236,"&gt;="&amp;DATE(YEAR(C236),1,1),$C$6:C236,"&lt;="&amp;DATE(YEAR(C236),12,31)),"000"))</f>
        <v/>
      </c>
      <c r="B236" s="29"/>
      <c r="C236" s="30"/>
      <c r="D236" s="31"/>
      <c r="E236" s="30"/>
      <c r="F236" s="29"/>
      <c r="G236" s="29"/>
      <c r="H236" s="29"/>
      <c r="I236" s="29"/>
      <c r="J236" s="29"/>
      <c r="K236" s="29"/>
      <c r="L236" s="29"/>
      <c r="M236" s="29"/>
      <c r="N236" s="29"/>
      <c r="O236" s="29"/>
      <c r="P236" s="29"/>
      <c r="Q236" s="32"/>
      <c r="R236" s="29"/>
      <c r="S236" s="29"/>
      <c r="T236" s="33" t="str">
        <f aca="false">IF(AH236="Void – logged in error","",IF(OR(C236="",S236=""),IF(C236="","","Decide"),IF(OR(S236="Not reportable",S236="Over-3-day injury (record only)"),"No","Yes")))</f>
        <v/>
      </c>
      <c r="U236" s="34" t="str">
        <f aca="false">IF(OR(C236="",S236=""),"",IF(S236="Over-7-day injury",C236+15,IF(OR(S236="Death",S236="Specified injury",S236="Member of public to hospital",S236="Dangerous occurrence"),C236+10,"")))</f>
        <v/>
      </c>
      <c r="V236" s="28" t="str">
        <f aca="true">IF(C236="","",IF(AH236="Void – logged in error","Void",IF(W236&lt;&gt;"","Done – reported",IF(S236="Occupational disease","REPORT NOW – on diagnosis",IF(ISNUMBER(U236),IF(U236&lt;TODAY(),"OVERDUE – report now",IF(U236=TODAY(),"DUE TODAY",IF(U236-TODAY()&lt;='Start here'!$C$7,"DUE in "&amp;(U236-TODAY())&amp;" days",IF(OR(S236="Death",S236="Specified injury",S236="Member of public to hospital",S236="Dangerous occurrence"),"REPORT without delay","Report by date shown")))),IF(AND(N(Q236)&gt;7,OR(S236="",S236="Not reportable",S236="Over-3-day injury (record only)")),"CHECK – over 7 days off",IF(S236="","Decide RIDDOR",IF(S236="Over-3-day injury (record only)","Record only","Not reportable"))))))))</f>
        <v/>
      </c>
      <c r="W236" s="30"/>
      <c r="X236" s="29"/>
      <c r="Y236" s="32"/>
      <c r="Z236" s="29"/>
      <c r="AA236" s="35"/>
      <c r="AB236" s="29"/>
      <c r="AC236" s="29"/>
      <c r="AD236" s="29"/>
      <c r="AE236" s="29"/>
      <c r="AF236" s="29"/>
      <c r="AG236" s="30"/>
      <c r="AH236" s="29"/>
      <c r="AI236" s="36" t="str">
        <f aca="true">IF(OR(C236="",AH236="Closed",AH236="Void – logged in error",AG236=""),"",IF(AG236&lt;TODAY(),"OVERDUE",IF(AG236-TODAY()&lt;='Start here'!$C$8,"Due soon","On track")))</f>
        <v/>
      </c>
      <c r="AJ236" s="29"/>
      <c r="AK236" s="29"/>
      <c r="AL236" s="30"/>
      <c r="AM236" s="37" t="str">
        <f aca="false">IF(AND(C236&lt;&gt;"",AH236&lt;&gt;"Closed",AH236&lt;&gt;"Void – logged in error",OR(AH236&lt;&gt;"",AD236&lt;&gt;"",AE236&lt;&gt;"",AF236&lt;&gt;"",AG236&lt;&gt;"")),ROW(),"")</f>
        <v/>
      </c>
    </row>
    <row r="237" customFormat="false" ht="30" hidden="false" customHeight="true" outlineLevel="0" collapsed="false">
      <c r="A237" s="28" t="str">
        <f aca="false">IF(C237="","","INC-"&amp;YEAR(C237)&amp;"-"&amp;TEXT(COUNTIFS($C$6:C237,"&gt;="&amp;DATE(YEAR(C237),1,1),$C$6:C237,"&lt;="&amp;DATE(YEAR(C237),12,31)),"000"))</f>
        <v/>
      </c>
      <c r="B237" s="29"/>
      <c r="C237" s="30"/>
      <c r="D237" s="31"/>
      <c r="E237" s="30"/>
      <c r="F237" s="29"/>
      <c r="G237" s="29"/>
      <c r="H237" s="29"/>
      <c r="I237" s="29"/>
      <c r="J237" s="29"/>
      <c r="K237" s="29"/>
      <c r="L237" s="29"/>
      <c r="M237" s="29"/>
      <c r="N237" s="29"/>
      <c r="O237" s="29"/>
      <c r="P237" s="29"/>
      <c r="Q237" s="32"/>
      <c r="R237" s="29"/>
      <c r="S237" s="29"/>
      <c r="T237" s="33" t="str">
        <f aca="false">IF(AH237="Void – logged in error","",IF(OR(C237="",S237=""),IF(C237="","","Decide"),IF(OR(S237="Not reportable",S237="Over-3-day injury (record only)"),"No","Yes")))</f>
        <v/>
      </c>
      <c r="U237" s="34" t="str">
        <f aca="false">IF(OR(C237="",S237=""),"",IF(S237="Over-7-day injury",C237+15,IF(OR(S237="Death",S237="Specified injury",S237="Member of public to hospital",S237="Dangerous occurrence"),C237+10,"")))</f>
        <v/>
      </c>
      <c r="V237" s="28" t="str">
        <f aca="true">IF(C237="","",IF(AH237="Void – logged in error","Void",IF(W237&lt;&gt;"","Done – reported",IF(S237="Occupational disease","REPORT NOW – on diagnosis",IF(ISNUMBER(U237),IF(U237&lt;TODAY(),"OVERDUE – report now",IF(U237=TODAY(),"DUE TODAY",IF(U237-TODAY()&lt;='Start here'!$C$7,"DUE in "&amp;(U237-TODAY())&amp;" days",IF(OR(S237="Death",S237="Specified injury",S237="Member of public to hospital",S237="Dangerous occurrence"),"REPORT without delay","Report by date shown")))),IF(AND(N(Q237)&gt;7,OR(S237="",S237="Not reportable",S237="Over-3-day injury (record only)")),"CHECK – over 7 days off",IF(S237="","Decide RIDDOR",IF(S237="Over-3-day injury (record only)","Record only","Not reportable"))))))))</f>
        <v/>
      </c>
      <c r="W237" s="30"/>
      <c r="X237" s="29"/>
      <c r="Y237" s="32"/>
      <c r="Z237" s="29"/>
      <c r="AA237" s="35"/>
      <c r="AB237" s="29"/>
      <c r="AC237" s="29"/>
      <c r="AD237" s="29"/>
      <c r="AE237" s="29"/>
      <c r="AF237" s="29"/>
      <c r="AG237" s="30"/>
      <c r="AH237" s="29"/>
      <c r="AI237" s="36" t="str">
        <f aca="true">IF(OR(C237="",AH237="Closed",AH237="Void – logged in error",AG237=""),"",IF(AG237&lt;TODAY(),"OVERDUE",IF(AG237-TODAY()&lt;='Start here'!$C$8,"Due soon","On track")))</f>
        <v/>
      </c>
      <c r="AJ237" s="29"/>
      <c r="AK237" s="29"/>
      <c r="AL237" s="30"/>
      <c r="AM237" s="37" t="str">
        <f aca="false">IF(AND(C237&lt;&gt;"",AH237&lt;&gt;"Closed",AH237&lt;&gt;"Void – logged in error",OR(AH237&lt;&gt;"",AD237&lt;&gt;"",AE237&lt;&gt;"",AF237&lt;&gt;"",AG237&lt;&gt;"")),ROW(),"")</f>
        <v/>
      </c>
    </row>
    <row r="238" customFormat="false" ht="30" hidden="false" customHeight="true" outlineLevel="0" collapsed="false">
      <c r="A238" s="28" t="str">
        <f aca="false">IF(C238="","","INC-"&amp;YEAR(C238)&amp;"-"&amp;TEXT(COUNTIFS($C$6:C238,"&gt;="&amp;DATE(YEAR(C238),1,1),$C$6:C238,"&lt;="&amp;DATE(YEAR(C238),12,31)),"000"))</f>
        <v/>
      </c>
      <c r="B238" s="29"/>
      <c r="C238" s="30"/>
      <c r="D238" s="31"/>
      <c r="E238" s="30"/>
      <c r="F238" s="29"/>
      <c r="G238" s="29"/>
      <c r="H238" s="29"/>
      <c r="I238" s="29"/>
      <c r="J238" s="29"/>
      <c r="K238" s="29"/>
      <c r="L238" s="29"/>
      <c r="M238" s="29"/>
      <c r="N238" s="29"/>
      <c r="O238" s="29"/>
      <c r="P238" s="29"/>
      <c r="Q238" s="32"/>
      <c r="R238" s="29"/>
      <c r="S238" s="29"/>
      <c r="T238" s="33" t="str">
        <f aca="false">IF(AH238="Void – logged in error","",IF(OR(C238="",S238=""),IF(C238="","","Decide"),IF(OR(S238="Not reportable",S238="Over-3-day injury (record only)"),"No","Yes")))</f>
        <v/>
      </c>
      <c r="U238" s="34" t="str">
        <f aca="false">IF(OR(C238="",S238=""),"",IF(S238="Over-7-day injury",C238+15,IF(OR(S238="Death",S238="Specified injury",S238="Member of public to hospital",S238="Dangerous occurrence"),C238+10,"")))</f>
        <v/>
      </c>
      <c r="V238" s="28" t="str">
        <f aca="true">IF(C238="","",IF(AH238="Void – logged in error","Void",IF(W238&lt;&gt;"","Done – reported",IF(S238="Occupational disease","REPORT NOW – on diagnosis",IF(ISNUMBER(U238),IF(U238&lt;TODAY(),"OVERDUE – report now",IF(U238=TODAY(),"DUE TODAY",IF(U238-TODAY()&lt;='Start here'!$C$7,"DUE in "&amp;(U238-TODAY())&amp;" days",IF(OR(S238="Death",S238="Specified injury",S238="Member of public to hospital",S238="Dangerous occurrence"),"REPORT without delay","Report by date shown")))),IF(AND(N(Q238)&gt;7,OR(S238="",S238="Not reportable",S238="Over-3-day injury (record only)")),"CHECK – over 7 days off",IF(S238="","Decide RIDDOR",IF(S238="Over-3-day injury (record only)","Record only","Not reportable"))))))))</f>
        <v/>
      </c>
      <c r="W238" s="30"/>
      <c r="X238" s="29"/>
      <c r="Y238" s="32"/>
      <c r="Z238" s="29"/>
      <c r="AA238" s="35"/>
      <c r="AB238" s="29"/>
      <c r="AC238" s="29"/>
      <c r="AD238" s="29"/>
      <c r="AE238" s="29"/>
      <c r="AF238" s="29"/>
      <c r="AG238" s="30"/>
      <c r="AH238" s="29"/>
      <c r="AI238" s="36" t="str">
        <f aca="true">IF(OR(C238="",AH238="Closed",AH238="Void – logged in error",AG238=""),"",IF(AG238&lt;TODAY(),"OVERDUE",IF(AG238-TODAY()&lt;='Start here'!$C$8,"Due soon","On track")))</f>
        <v/>
      </c>
      <c r="AJ238" s="29"/>
      <c r="AK238" s="29"/>
      <c r="AL238" s="30"/>
      <c r="AM238" s="37" t="str">
        <f aca="false">IF(AND(C238&lt;&gt;"",AH238&lt;&gt;"Closed",AH238&lt;&gt;"Void – logged in error",OR(AH238&lt;&gt;"",AD238&lt;&gt;"",AE238&lt;&gt;"",AF238&lt;&gt;"",AG238&lt;&gt;"")),ROW(),"")</f>
        <v/>
      </c>
    </row>
    <row r="239" customFormat="false" ht="30" hidden="false" customHeight="true" outlineLevel="0" collapsed="false">
      <c r="A239" s="28" t="str">
        <f aca="false">IF(C239="","","INC-"&amp;YEAR(C239)&amp;"-"&amp;TEXT(COUNTIFS($C$6:C239,"&gt;="&amp;DATE(YEAR(C239),1,1),$C$6:C239,"&lt;="&amp;DATE(YEAR(C239),12,31)),"000"))</f>
        <v/>
      </c>
      <c r="B239" s="29"/>
      <c r="C239" s="30"/>
      <c r="D239" s="31"/>
      <c r="E239" s="30"/>
      <c r="F239" s="29"/>
      <c r="G239" s="29"/>
      <c r="H239" s="29"/>
      <c r="I239" s="29"/>
      <c r="J239" s="29"/>
      <c r="K239" s="29"/>
      <c r="L239" s="29"/>
      <c r="M239" s="29"/>
      <c r="N239" s="29"/>
      <c r="O239" s="29"/>
      <c r="P239" s="29"/>
      <c r="Q239" s="32"/>
      <c r="R239" s="29"/>
      <c r="S239" s="29"/>
      <c r="T239" s="33" t="str">
        <f aca="false">IF(AH239="Void – logged in error","",IF(OR(C239="",S239=""),IF(C239="","","Decide"),IF(OR(S239="Not reportable",S239="Over-3-day injury (record only)"),"No","Yes")))</f>
        <v/>
      </c>
      <c r="U239" s="34" t="str">
        <f aca="false">IF(OR(C239="",S239=""),"",IF(S239="Over-7-day injury",C239+15,IF(OR(S239="Death",S239="Specified injury",S239="Member of public to hospital",S239="Dangerous occurrence"),C239+10,"")))</f>
        <v/>
      </c>
      <c r="V239" s="28" t="str">
        <f aca="true">IF(C239="","",IF(AH239="Void – logged in error","Void",IF(W239&lt;&gt;"","Done – reported",IF(S239="Occupational disease","REPORT NOW – on diagnosis",IF(ISNUMBER(U239),IF(U239&lt;TODAY(),"OVERDUE – report now",IF(U239=TODAY(),"DUE TODAY",IF(U239-TODAY()&lt;='Start here'!$C$7,"DUE in "&amp;(U239-TODAY())&amp;" days",IF(OR(S239="Death",S239="Specified injury",S239="Member of public to hospital",S239="Dangerous occurrence"),"REPORT without delay","Report by date shown")))),IF(AND(N(Q239)&gt;7,OR(S239="",S239="Not reportable",S239="Over-3-day injury (record only)")),"CHECK – over 7 days off",IF(S239="","Decide RIDDOR",IF(S239="Over-3-day injury (record only)","Record only","Not reportable"))))))))</f>
        <v/>
      </c>
      <c r="W239" s="30"/>
      <c r="X239" s="29"/>
      <c r="Y239" s="32"/>
      <c r="Z239" s="29"/>
      <c r="AA239" s="35"/>
      <c r="AB239" s="29"/>
      <c r="AC239" s="29"/>
      <c r="AD239" s="29"/>
      <c r="AE239" s="29"/>
      <c r="AF239" s="29"/>
      <c r="AG239" s="30"/>
      <c r="AH239" s="29"/>
      <c r="AI239" s="36" t="str">
        <f aca="true">IF(OR(C239="",AH239="Closed",AH239="Void – logged in error",AG239=""),"",IF(AG239&lt;TODAY(),"OVERDUE",IF(AG239-TODAY()&lt;='Start here'!$C$8,"Due soon","On track")))</f>
        <v/>
      </c>
      <c r="AJ239" s="29"/>
      <c r="AK239" s="29"/>
      <c r="AL239" s="30"/>
      <c r="AM239" s="37" t="str">
        <f aca="false">IF(AND(C239&lt;&gt;"",AH239&lt;&gt;"Closed",AH239&lt;&gt;"Void – logged in error",OR(AH239&lt;&gt;"",AD239&lt;&gt;"",AE239&lt;&gt;"",AF239&lt;&gt;"",AG239&lt;&gt;"")),ROW(),"")</f>
        <v/>
      </c>
    </row>
    <row r="240" customFormat="false" ht="30" hidden="false" customHeight="true" outlineLevel="0" collapsed="false">
      <c r="A240" s="28" t="str">
        <f aca="false">IF(C240="","","INC-"&amp;YEAR(C240)&amp;"-"&amp;TEXT(COUNTIFS($C$6:C240,"&gt;="&amp;DATE(YEAR(C240),1,1),$C$6:C240,"&lt;="&amp;DATE(YEAR(C240),12,31)),"000"))</f>
        <v/>
      </c>
      <c r="B240" s="29"/>
      <c r="C240" s="30"/>
      <c r="D240" s="31"/>
      <c r="E240" s="30"/>
      <c r="F240" s="29"/>
      <c r="G240" s="29"/>
      <c r="H240" s="29"/>
      <c r="I240" s="29"/>
      <c r="J240" s="29"/>
      <c r="K240" s="29"/>
      <c r="L240" s="29"/>
      <c r="M240" s="29"/>
      <c r="N240" s="29"/>
      <c r="O240" s="29"/>
      <c r="P240" s="29"/>
      <c r="Q240" s="32"/>
      <c r="R240" s="29"/>
      <c r="S240" s="29"/>
      <c r="T240" s="33" t="str">
        <f aca="false">IF(AH240="Void – logged in error","",IF(OR(C240="",S240=""),IF(C240="","","Decide"),IF(OR(S240="Not reportable",S240="Over-3-day injury (record only)"),"No","Yes")))</f>
        <v/>
      </c>
      <c r="U240" s="34" t="str">
        <f aca="false">IF(OR(C240="",S240=""),"",IF(S240="Over-7-day injury",C240+15,IF(OR(S240="Death",S240="Specified injury",S240="Member of public to hospital",S240="Dangerous occurrence"),C240+10,"")))</f>
        <v/>
      </c>
      <c r="V240" s="28" t="str">
        <f aca="true">IF(C240="","",IF(AH240="Void – logged in error","Void",IF(W240&lt;&gt;"","Done – reported",IF(S240="Occupational disease","REPORT NOW – on diagnosis",IF(ISNUMBER(U240),IF(U240&lt;TODAY(),"OVERDUE – report now",IF(U240=TODAY(),"DUE TODAY",IF(U240-TODAY()&lt;='Start here'!$C$7,"DUE in "&amp;(U240-TODAY())&amp;" days",IF(OR(S240="Death",S240="Specified injury",S240="Member of public to hospital",S240="Dangerous occurrence"),"REPORT without delay","Report by date shown")))),IF(AND(N(Q240)&gt;7,OR(S240="",S240="Not reportable",S240="Over-3-day injury (record only)")),"CHECK – over 7 days off",IF(S240="","Decide RIDDOR",IF(S240="Over-3-day injury (record only)","Record only","Not reportable"))))))))</f>
        <v/>
      </c>
      <c r="W240" s="30"/>
      <c r="X240" s="29"/>
      <c r="Y240" s="32"/>
      <c r="Z240" s="29"/>
      <c r="AA240" s="35"/>
      <c r="AB240" s="29"/>
      <c r="AC240" s="29"/>
      <c r="AD240" s="29"/>
      <c r="AE240" s="29"/>
      <c r="AF240" s="29"/>
      <c r="AG240" s="30"/>
      <c r="AH240" s="29"/>
      <c r="AI240" s="36" t="str">
        <f aca="true">IF(OR(C240="",AH240="Closed",AH240="Void – logged in error",AG240=""),"",IF(AG240&lt;TODAY(),"OVERDUE",IF(AG240-TODAY()&lt;='Start here'!$C$8,"Due soon","On track")))</f>
        <v/>
      </c>
      <c r="AJ240" s="29"/>
      <c r="AK240" s="29"/>
      <c r="AL240" s="30"/>
      <c r="AM240" s="37" t="str">
        <f aca="false">IF(AND(C240&lt;&gt;"",AH240&lt;&gt;"Closed",AH240&lt;&gt;"Void – logged in error",OR(AH240&lt;&gt;"",AD240&lt;&gt;"",AE240&lt;&gt;"",AF240&lt;&gt;"",AG240&lt;&gt;"")),ROW(),"")</f>
        <v/>
      </c>
    </row>
    <row r="241" customFormat="false" ht="30" hidden="false" customHeight="true" outlineLevel="0" collapsed="false">
      <c r="A241" s="28" t="str">
        <f aca="false">IF(C241="","","INC-"&amp;YEAR(C241)&amp;"-"&amp;TEXT(COUNTIFS($C$6:C241,"&gt;="&amp;DATE(YEAR(C241),1,1),$C$6:C241,"&lt;="&amp;DATE(YEAR(C241),12,31)),"000"))</f>
        <v/>
      </c>
      <c r="B241" s="29"/>
      <c r="C241" s="30"/>
      <c r="D241" s="31"/>
      <c r="E241" s="30"/>
      <c r="F241" s="29"/>
      <c r="G241" s="29"/>
      <c r="H241" s="29"/>
      <c r="I241" s="29"/>
      <c r="J241" s="29"/>
      <c r="K241" s="29"/>
      <c r="L241" s="29"/>
      <c r="M241" s="29"/>
      <c r="N241" s="29"/>
      <c r="O241" s="29"/>
      <c r="P241" s="29"/>
      <c r="Q241" s="32"/>
      <c r="R241" s="29"/>
      <c r="S241" s="29"/>
      <c r="T241" s="33" t="str">
        <f aca="false">IF(AH241="Void – logged in error","",IF(OR(C241="",S241=""),IF(C241="","","Decide"),IF(OR(S241="Not reportable",S241="Over-3-day injury (record only)"),"No","Yes")))</f>
        <v/>
      </c>
      <c r="U241" s="34" t="str">
        <f aca="false">IF(OR(C241="",S241=""),"",IF(S241="Over-7-day injury",C241+15,IF(OR(S241="Death",S241="Specified injury",S241="Member of public to hospital",S241="Dangerous occurrence"),C241+10,"")))</f>
        <v/>
      </c>
      <c r="V241" s="28" t="str">
        <f aca="true">IF(C241="","",IF(AH241="Void – logged in error","Void",IF(W241&lt;&gt;"","Done – reported",IF(S241="Occupational disease","REPORT NOW – on diagnosis",IF(ISNUMBER(U241),IF(U241&lt;TODAY(),"OVERDUE – report now",IF(U241=TODAY(),"DUE TODAY",IF(U241-TODAY()&lt;='Start here'!$C$7,"DUE in "&amp;(U241-TODAY())&amp;" days",IF(OR(S241="Death",S241="Specified injury",S241="Member of public to hospital",S241="Dangerous occurrence"),"REPORT without delay","Report by date shown")))),IF(AND(N(Q241)&gt;7,OR(S241="",S241="Not reportable",S241="Over-3-day injury (record only)")),"CHECK – over 7 days off",IF(S241="","Decide RIDDOR",IF(S241="Over-3-day injury (record only)","Record only","Not reportable"))))))))</f>
        <v/>
      </c>
      <c r="W241" s="30"/>
      <c r="X241" s="29"/>
      <c r="Y241" s="32"/>
      <c r="Z241" s="29"/>
      <c r="AA241" s="35"/>
      <c r="AB241" s="29"/>
      <c r="AC241" s="29"/>
      <c r="AD241" s="29"/>
      <c r="AE241" s="29"/>
      <c r="AF241" s="29"/>
      <c r="AG241" s="30"/>
      <c r="AH241" s="29"/>
      <c r="AI241" s="36" t="str">
        <f aca="true">IF(OR(C241="",AH241="Closed",AH241="Void – logged in error",AG241=""),"",IF(AG241&lt;TODAY(),"OVERDUE",IF(AG241-TODAY()&lt;='Start here'!$C$8,"Due soon","On track")))</f>
        <v/>
      </c>
      <c r="AJ241" s="29"/>
      <c r="AK241" s="29"/>
      <c r="AL241" s="30"/>
      <c r="AM241" s="37" t="str">
        <f aca="false">IF(AND(C241&lt;&gt;"",AH241&lt;&gt;"Closed",AH241&lt;&gt;"Void – logged in error",OR(AH241&lt;&gt;"",AD241&lt;&gt;"",AE241&lt;&gt;"",AF241&lt;&gt;"",AG241&lt;&gt;"")),ROW(),"")</f>
        <v/>
      </c>
    </row>
    <row r="242" customFormat="false" ht="30" hidden="false" customHeight="true" outlineLevel="0" collapsed="false">
      <c r="A242" s="28" t="str">
        <f aca="false">IF(C242="","","INC-"&amp;YEAR(C242)&amp;"-"&amp;TEXT(COUNTIFS($C$6:C242,"&gt;="&amp;DATE(YEAR(C242),1,1),$C$6:C242,"&lt;="&amp;DATE(YEAR(C242),12,31)),"000"))</f>
        <v/>
      </c>
      <c r="B242" s="29"/>
      <c r="C242" s="30"/>
      <c r="D242" s="31"/>
      <c r="E242" s="30"/>
      <c r="F242" s="29"/>
      <c r="G242" s="29"/>
      <c r="H242" s="29"/>
      <c r="I242" s="29"/>
      <c r="J242" s="29"/>
      <c r="K242" s="29"/>
      <c r="L242" s="29"/>
      <c r="M242" s="29"/>
      <c r="N242" s="29"/>
      <c r="O242" s="29"/>
      <c r="P242" s="29"/>
      <c r="Q242" s="32"/>
      <c r="R242" s="29"/>
      <c r="S242" s="29"/>
      <c r="T242" s="33" t="str">
        <f aca="false">IF(AH242="Void – logged in error","",IF(OR(C242="",S242=""),IF(C242="","","Decide"),IF(OR(S242="Not reportable",S242="Over-3-day injury (record only)"),"No","Yes")))</f>
        <v/>
      </c>
      <c r="U242" s="34" t="str">
        <f aca="false">IF(OR(C242="",S242=""),"",IF(S242="Over-7-day injury",C242+15,IF(OR(S242="Death",S242="Specified injury",S242="Member of public to hospital",S242="Dangerous occurrence"),C242+10,"")))</f>
        <v/>
      </c>
      <c r="V242" s="28" t="str">
        <f aca="true">IF(C242="","",IF(AH242="Void – logged in error","Void",IF(W242&lt;&gt;"","Done – reported",IF(S242="Occupational disease","REPORT NOW – on diagnosis",IF(ISNUMBER(U242),IF(U242&lt;TODAY(),"OVERDUE – report now",IF(U242=TODAY(),"DUE TODAY",IF(U242-TODAY()&lt;='Start here'!$C$7,"DUE in "&amp;(U242-TODAY())&amp;" days",IF(OR(S242="Death",S242="Specified injury",S242="Member of public to hospital",S242="Dangerous occurrence"),"REPORT without delay","Report by date shown")))),IF(AND(N(Q242)&gt;7,OR(S242="",S242="Not reportable",S242="Over-3-day injury (record only)")),"CHECK – over 7 days off",IF(S242="","Decide RIDDOR",IF(S242="Over-3-day injury (record only)","Record only","Not reportable"))))))))</f>
        <v/>
      </c>
      <c r="W242" s="30"/>
      <c r="X242" s="29"/>
      <c r="Y242" s="32"/>
      <c r="Z242" s="29"/>
      <c r="AA242" s="35"/>
      <c r="AB242" s="29"/>
      <c r="AC242" s="29"/>
      <c r="AD242" s="29"/>
      <c r="AE242" s="29"/>
      <c r="AF242" s="29"/>
      <c r="AG242" s="30"/>
      <c r="AH242" s="29"/>
      <c r="AI242" s="36" t="str">
        <f aca="true">IF(OR(C242="",AH242="Closed",AH242="Void – logged in error",AG242=""),"",IF(AG242&lt;TODAY(),"OVERDUE",IF(AG242-TODAY()&lt;='Start here'!$C$8,"Due soon","On track")))</f>
        <v/>
      </c>
      <c r="AJ242" s="29"/>
      <c r="AK242" s="29"/>
      <c r="AL242" s="30"/>
      <c r="AM242" s="37" t="str">
        <f aca="false">IF(AND(C242&lt;&gt;"",AH242&lt;&gt;"Closed",AH242&lt;&gt;"Void – logged in error",OR(AH242&lt;&gt;"",AD242&lt;&gt;"",AE242&lt;&gt;"",AF242&lt;&gt;"",AG242&lt;&gt;"")),ROW(),"")</f>
        <v/>
      </c>
    </row>
    <row r="243" customFormat="false" ht="30" hidden="false" customHeight="true" outlineLevel="0" collapsed="false">
      <c r="A243" s="28" t="str">
        <f aca="false">IF(C243="","","INC-"&amp;YEAR(C243)&amp;"-"&amp;TEXT(COUNTIFS($C$6:C243,"&gt;="&amp;DATE(YEAR(C243),1,1),$C$6:C243,"&lt;="&amp;DATE(YEAR(C243),12,31)),"000"))</f>
        <v/>
      </c>
      <c r="B243" s="29"/>
      <c r="C243" s="30"/>
      <c r="D243" s="31"/>
      <c r="E243" s="30"/>
      <c r="F243" s="29"/>
      <c r="G243" s="29"/>
      <c r="H243" s="29"/>
      <c r="I243" s="29"/>
      <c r="J243" s="29"/>
      <c r="K243" s="29"/>
      <c r="L243" s="29"/>
      <c r="M243" s="29"/>
      <c r="N243" s="29"/>
      <c r="O243" s="29"/>
      <c r="P243" s="29"/>
      <c r="Q243" s="32"/>
      <c r="R243" s="29"/>
      <c r="S243" s="29"/>
      <c r="T243" s="33" t="str">
        <f aca="false">IF(AH243="Void – logged in error","",IF(OR(C243="",S243=""),IF(C243="","","Decide"),IF(OR(S243="Not reportable",S243="Over-3-day injury (record only)"),"No","Yes")))</f>
        <v/>
      </c>
      <c r="U243" s="34" t="str">
        <f aca="false">IF(OR(C243="",S243=""),"",IF(S243="Over-7-day injury",C243+15,IF(OR(S243="Death",S243="Specified injury",S243="Member of public to hospital",S243="Dangerous occurrence"),C243+10,"")))</f>
        <v/>
      </c>
      <c r="V243" s="28" t="str">
        <f aca="true">IF(C243="","",IF(AH243="Void – logged in error","Void",IF(W243&lt;&gt;"","Done – reported",IF(S243="Occupational disease","REPORT NOW – on diagnosis",IF(ISNUMBER(U243),IF(U243&lt;TODAY(),"OVERDUE – report now",IF(U243=TODAY(),"DUE TODAY",IF(U243-TODAY()&lt;='Start here'!$C$7,"DUE in "&amp;(U243-TODAY())&amp;" days",IF(OR(S243="Death",S243="Specified injury",S243="Member of public to hospital",S243="Dangerous occurrence"),"REPORT without delay","Report by date shown")))),IF(AND(N(Q243)&gt;7,OR(S243="",S243="Not reportable",S243="Over-3-day injury (record only)")),"CHECK – over 7 days off",IF(S243="","Decide RIDDOR",IF(S243="Over-3-day injury (record only)","Record only","Not reportable"))))))))</f>
        <v/>
      </c>
      <c r="W243" s="30"/>
      <c r="X243" s="29"/>
      <c r="Y243" s="32"/>
      <c r="Z243" s="29"/>
      <c r="AA243" s="35"/>
      <c r="AB243" s="29"/>
      <c r="AC243" s="29"/>
      <c r="AD243" s="29"/>
      <c r="AE243" s="29"/>
      <c r="AF243" s="29"/>
      <c r="AG243" s="30"/>
      <c r="AH243" s="29"/>
      <c r="AI243" s="36" t="str">
        <f aca="true">IF(OR(C243="",AH243="Closed",AH243="Void – logged in error",AG243=""),"",IF(AG243&lt;TODAY(),"OVERDUE",IF(AG243-TODAY()&lt;='Start here'!$C$8,"Due soon","On track")))</f>
        <v/>
      </c>
      <c r="AJ243" s="29"/>
      <c r="AK243" s="29"/>
      <c r="AL243" s="30"/>
      <c r="AM243" s="37" t="str">
        <f aca="false">IF(AND(C243&lt;&gt;"",AH243&lt;&gt;"Closed",AH243&lt;&gt;"Void – logged in error",OR(AH243&lt;&gt;"",AD243&lt;&gt;"",AE243&lt;&gt;"",AF243&lt;&gt;"",AG243&lt;&gt;"")),ROW(),"")</f>
        <v/>
      </c>
    </row>
    <row r="244" customFormat="false" ht="30" hidden="false" customHeight="true" outlineLevel="0" collapsed="false">
      <c r="A244" s="28" t="str">
        <f aca="false">IF(C244="","","INC-"&amp;YEAR(C244)&amp;"-"&amp;TEXT(COUNTIFS($C$6:C244,"&gt;="&amp;DATE(YEAR(C244),1,1),$C$6:C244,"&lt;="&amp;DATE(YEAR(C244),12,31)),"000"))</f>
        <v/>
      </c>
      <c r="B244" s="29"/>
      <c r="C244" s="30"/>
      <c r="D244" s="31"/>
      <c r="E244" s="30"/>
      <c r="F244" s="29"/>
      <c r="G244" s="29"/>
      <c r="H244" s="29"/>
      <c r="I244" s="29"/>
      <c r="J244" s="29"/>
      <c r="K244" s="29"/>
      <c r="L244" s="29"/>
      <c r="M244" s="29"/>
      <c r="N244" s="29"/>
      <c r="O244" s="29"/>
      <c r="P244" s="29"/>
      <c r="Q244" s="32"/>
      <c r="R244" s="29"/>
      <c r="S244" s="29"/>
      <c r="T244" s="33" t="str">
        <f aca="false">IF(AH244="Void – logged in error","",IF(OR(C244="",S244=""),IF(C244="","","Decide"),IF(OR(S244="Not reportable",S244="Over-3-day injury (record only)"),"No","Yes")))</f>
        <v/>
      </c>
      <c r="U244" s="34" t="str">
        <f aca="false">IF(OR(C244="",S244=""),"",IF(S244="Over-7-day injury",C244+15,IF(OR(S244="Death",S244="Specified injury",S244="Member of public to hospital",S244="Dangerous occurrence"),C244+10,"")))</f>
        <v/>
      </c>
      <c r="V244" s="28" t="str">
        <f aca="true">IF(C244="","",IF(AH244="Void – logged in error","Void",IF(W244&lt;&gt;"","Done – reported",IF(S244="Occupational disease","REPORT NOW – on diagnosis",IF(ISNUMBER(U244),IF(U244&lt;TODAY(),"OVERDUE – report now",IF(U244=TODAY(),"DUE TODAY",IF(U244-TODAY()&lt;='Start here'!$C$7,"DUE in "&amp;(U244-TODAY())&amp;" days",IF(OR(S244="Death",S244="Specified injury",S244="Member of public to hospital",S244="Dangerous occurrence"),"REPORT without delay","Report by date shown")))),IF(AND(N(Q244)&gt;7,OR(S244="",S244="Not reportable",S244="Over-3-day injury (record only)")),"CHECK – over 7 days off",IF(S244="","Decide RIDDOR",IF(S244="Over-3-day injury (record only)","Record only","Not reportable"))))))))</f>
        <v/>
      </c>
      <c r="W244" s="30"/>
      <c r="X244" s="29"/>
      <c r="Y244" s="32"/>
      <c r="Z244" s="29"/>
      <c r="AA244" s="35"/>
      <c r="AB244" s="29"/>
      <c r="AC244" s="29"/>
      <c r="AD244" s="29"/>
      <c r="AE244" s="29"/>
      <c r="AF244" s="29"/>
      <c r="AG244" s="30"/>
      <c r="AH244" s="29"/>
      <c r="AI244" s="36" t="str">
        <f aca="true">IF(OR(C244="",AH244="Closed",AH244="Void – logged in error",AG244=""),"",IF(AG244&lt;TODAY(),"OVERDUE",IF(AG244-TODAY()&lt;='Start here'!$C$8,"Due soon","On track")))</f>
        <v/>
      </c>
      <c r="AJ244" s="29"/>
      <c r="AK244" s="29"/>
      <c r="AL244" s="30"/>
      <c r="AM244" s="37" t="str">
        <f aca="false">IF(AND(C244&lt;&gt;"",AH244&lt;&gt;"Closed",AH244&lt;&gt;"Void – logged in error",OR(AH244&lt;&gt;"",AD244&lt;&gt;"",AE244&lt;&gt;"",AF244&lt;&gt;"",AG244&lt;&gt;"")),ROW(),"")</f>
        <v/>
      </c>
    </row>
    <row r="245" customFormat="false" ht="30" hidden="false" customHeight="true" outlineLevel="0" collapsed="false">
      <c r="A245" s="28" t="str">
        <f aca="false">IF(C245="","","INC-"&amp;YEAR(C245)&amp;"-"&amp;TEXT(COUNTIFS($C$6:C245,"&gt;="&amp;DATE(YEAR(C245),1,1),$C$6:C245,"&lt;="&amp;DATE(YEAR(C245),12,31)),"000"))</f>
        <v/>
      </c>
      <c r="B245" s="29"/>
      <c r="C245" s="30"/>
      <c r="D245" s="31"/>
      <c r="E245" s="30"/>
      <c r="F245" s="29"/>
      <c r="G245" s="29"/>
      <c r="H245" s="29"/>
      <c r="I245" s="29"/>
      <c r="J245" s="29"/>
      <c r="K245" s="29"/>
      <c r="L245" s="29"/>
      <c r="M245" s="29"/>
      <c r="N245" s="29"/>
      <c r="O245" s="29"/>
      <c r="P245" s="29"/>
      <c r="Q245" s="32"/>
      <c r="R245" s="29"/>
      <c r="S245" s="29"/>
      <c r="T245" s="33" t="str">
        <f aca="false">IF(AH245="Void – logged in error","",IF(OR(C245="",S245=""),IF(C245="","","Decide"),IF(OR(S245="Not reportable",S245="Over-3-day injury (record only)"),"No","Yes")))</f>
        <v/>
      </c>
      <c r="U245" s="34" t="str">
        <f aca="false">IF(OR(C245="",S245=""),"",IF(S245="Over-7-day injury",C245+15,IF(OR(S245="Death",S245="Specified injury",S245="Member of public to hospital",S245="Dangerous occurrence"),C245+10,"")))</f>
        <v/>
      </c>
      <c r="V245" s="28" t="str">
        <f aca="true">IF(C245="","",IF(AH245="Void – logged in error","Void",IF(W245&lt;&gt;"","Done – reported",IF(S245="Occupational disease","REPORT NOW – on diagnosis",IF(ISNUMBER(U245),IF(U245&lt;TODAY(),"OVERDUE – report now",IF(U245=TODAY(),"DUE TODAY",IF(U245-TODAY()&lt;='Start here'!$C$7,"DUE in "&amp;(U245-TODAY())&amp;" days",IF(OR(S245="Death",S245="Specified injury",S245="Member of public to hospital",S245="Dangerous occurrence"),"REPORT without delay","Report by date shown")))),IF(AND(N(Q245)&gt;7,OR(S245="",S245="Not reportable",S245="Over-3-day injury (record only)")),"CHECK – over 7 days off",IF(S245="","Decide RIDDOR",IF(S245="Over-3-day injury (record only)","Record only","Not reportable"))))))))</f>
        <v/>
      </c>
      <c r="W245" s="30"/>
      <c r="X245" s="29"/>
      <c r="Y245" s="32"/>
      <c r="Z245" s="29"/>
      <c r="AA245" s="35"/>
      <c r="AB245" s="29"/>
      <c r="AC245" s="29"/>
      <c r="AD245" s="29"/>
      <c r="AE245" s="29"/>
      <c r="AF245" s="29"/>
      <c r="AG245" s="30"/>
      <c r="AH245" s="29"/>
      <c r="AI245" s="36" t="str">
        <f aca="true">IF(OR(C245="",AH245="Closed",AH245="Void – logged in error",AG245=""),"",IF(AG245&lt;TODAY(),"OVERDUE",IF(AG245-TODAY()&lt;='Start here'!$C$8,"Due soon","On track")))</f>
        <v/>
      </c>
      <c r="AJ245" s="29"/>
      <c r="AK245" s="29"/>
      <c r="AL245" s="30"/>
      <c r="AM245" s="37" t="str">
        <f aca="false">IF(AND(C245&lt;&gt;"",AH245&lt;&gt;"Closed",AH245&lt;&gt;"Void – logged in error",OR(AH245&lt;&gt;"",AD245&lt;&gt;"",AE245&lt;&gt;"",AF245&lt;&gt;"",AG245&lt;&gt;"")),ROW(),"")</f>
        <v/>
      </c>
    </row>
    <row r="246" customFormat="false" ht="30" hidden="false" customHeight="true" outlineLevel="0" collapsed="false">
      <c r="A246" s="28" t="str">
        <f aca="false">IF(C246="","","INC-"&amp;YEAR(C246)&amp;"-"&amp;TEXT(COUNTIFS($C$6:C246,"&gt;="&amp;DATE(YEAR(C246),1,1),$C$6:C246,"&lt;="&amp;DATE(YEAR(C246),12,31)),"000"))</f>
        <v/>
      </c>
      <c r="B246" s="29"/>
      <c r="C246" s="30"/>
      <c r="D246" s="31"/>
      <c r="E246" s="30"/>
      <c r="F246" s="29"/>
      <c r="G246" s="29"/>
      <c r="H246" s="29"/>
      <c r="I246" s="29"/>
      <c r="J246" s="29"/>
      <c r="K246" s="29"/>
      <c r="L246" s="29"/>
      <c r="M246" s="29"/>
      <c r="N246" s="29"/>
      <c r="O246" s="29"/>
      <c r="P246" s="29"/>
      <c r="Q246" s="32"/>
      <c r="R246" s="29"/>
      <c r="S246" s="29"/>
      <c r="T246" s="33" t="str">
        <f aca="false">IF(AH246="Void – logged in error","",IF(OR(C246="",S246=""),IF(C246="","","Decide"),IF(OR(S246="Not reportable",S246="Over-3-day injury (record only)"),"No","Yes")))</f>
        <v/>
      </c>
      <c r="U246" s="34" t="str">
        <f aca="false">IF(OR(C246="",S246=""),"",IF(S246="Over-7-day injury",C246+15,IF(OR(S246="Death",S246="Specified injury",S246="Member of public to hospital",S246="Dangerous occurrence"),C246+10,"")))</f>
        <v/>
      </c>
      <c r="V246" s="28" t="str">
        <f aca="true">IF(C246="","",IF(AH246="Void – logged in error","Void",IF(W246&lt;&gt;"","Done – reported",IF(S246="Occupational disease","REPORT NOW – on diagnosis",IF(ISNUMBER(U246),IF(U246&lt;TODAY(),"OVERDUE – report now",IF(U246=TODAY(),"DUE TODAY",IF(U246-TODAY()&lt;='Start here'!$C$7,"DUE in "&amp;(U246-TODAY())&amp;" days",IF(OR(S246="Death",S246="Specified injury",S246="Member of public to hospital",S246="Dangerous occurrence"),"REPORT without delay","Report by date shown")))),IF(AND(N(Q246)&gt;7,OR(S246="",S246="Not reportable",S246="Over-3-day injury (record only)")),"CHECK – over 7 days off",IF(S246="","Decide RIDDOR",IF(S246="Over-3-day injury (record only)","Record only","Not reportable"))))))))</f>
        <v/>
      </c>
      <c r="W246" s="30"/>
      <c r="X246" s="29"/>
      <c r="Y246" s="32"/>
      <c r="Z246" s="29"/>
      <c r="AA246" s="35"/>
      <c r="AB246" s="29"/>
      <c r="AC246" s="29"/>
      <c r="AD246" s="29"/>
      <c r="AE246" s="29"/>
      <c r="AF246" s="29"/>
      <c r="AG246" s="30"/>
      <c r="AH246" s="29"/>
      <c r="AI246" s="36" t="str">
        <f aca="true">IF(OR(C246="",AH246="Closed",AH246="Void – logged in error",AG246=""),"",IF(AG246&lt;TODAY(),"OVERDUE",IF(AG246-TODAY()&lt;='Start here'!$C$8,"Due soon","On track")))</f>
        <v/>
      </c>
      <c r="AJ246" s="29"/>
      <c r="AK246" s="29"/>
      <c r="AL246" s="30"/>
      <c r="AM246" s="37" t="str">
        <f aca="false">IF(AND(C246&lt;&gt;"",AH246&lt;&gt;"Closed",AH246&lt;&gt;"Void – logged in error",OR(AH246&lt;&gt;"",AD246&lt;&gt;"",AE246&lt;&gt;"",AF246&lt;&gt;"",AG246&lt;&gt;"")),ROW(),"")</f>
        <v/>
      </c>
    </row>
    <row r="247" customFormat="false" ht="30" hidden="false" customHeight="true" outlineLevel="0" collapsed="false">
      <c r="A247" s="28" t="str">
        <f aca="false">IF(C247="","","INC-"&amp;YEAR(C247)&amp;"-"&amp;TEXT(COUNTIFS($C$6:C247,"&gt;="&amp;DATE(YEAR(C247),1,1),$C$6:C247,"&lt;="&amp;DATE(YEAR(C247),12,31)),"000"))</f>
        <v/>
      </c>
      <c r="B247" s="29"/>
      <c r="C247" s="30"/>
      <c r="D247" s="31"/>
      <c r="E247" s="30"/>
      <c r="F247" s="29"/>
      <c r="G247" s="29"/>
      <c r="H247" s="29"/>
      <c r="I247" s="29"/>
      <c r="J247" s="29"/>
      <c r="K247" s="29"/>
      <c r="L247" s="29"/>
      <c r="M247" s="29"/>
      <c r="N247" s="29"/>
      <c r="O247" s="29"/>
      <c r="P247" s="29"/>
      <c r="Q247" s="32"/>
      <c r="R247" s="29"/>
      <c r="S247" s="29"/>
      <c r="T247" s="33" t="str">
        <f aca="false">IF(AH247="Void – logged in error","",IF(OR(C247="",S247=""),IF(C247="","","Decide"),IF(OR(S247="Not reportable",S247="Over-3-day injury (record only)"),"No","Yes")))</f>
        <v/>
      </c>
      <c r="U247" s="34" t="str">
        <f aca="false">IF(OR(C247="",S247=""),"",IF(S247="Over-7-day injury",C247+15,IF(OR(S247="Death",S247="Specified injury",S247="Member of public to hospital",S247="Dangerous occurrence"),C247+10,"")))</f>
        <v/>
      </c>
      <c r="V247" s="28" t="str">
        <f aca="true">IF(C247="","",IF(AH247="Void – logged in error","Void",IF(W247&lt;&gt;"","Done – reported",IF(S247="Occupational disease","REPORT NOW – on diagnosis",IF(ISNUMBER(U247),IF(U247&lt;TODAY(),"OVERDUE – report now",IF(U247=TODAY(),"DUE TODAY",IF(U247-TODAY()&lt;='Start here'!$C$7,"DUE in "&amp;(U247-TODAY())&amp;" days",IF(OR(S247="Death",S247="Specified injury",S247="Member of public to hospital",S247="Dangerous occurrence"),"REPORT without delay","Report by date shown")))),IF(AND(N(Q247)&gt;7,OR(S247="",S247="Not reportable",S247="Over-3-day injury (record only)")),"CHECK – over 7 days off",IF(S247="","Decide RIDDOR",IF(S247="Over-3-day injury (record only)","Record only","Not reportable"))))))))</f>
        <v/>
      </c>
      <c r="W247" s="30"/>
      <c r="X247" s="29"/>
      <c r="Y247" s="32"/>
      <c r="Z247" s="29"/>
      <c r="AA247" s="35"/>
      <c r="AB247" s="29"/>
      <c r="AC247" s="29"/>
      <c r="AD247" s="29"/>
      <c r="AE247" s="29"/>
      <c r="AF247" s="29"/>
      <c r="AG247" s="30"/>
      <c r="AH247" s="29"/>
      <c r="AI247" s="36" t="str">
        <f aca="true">IF(OR(C247="",AH247="Closed",AH247="Void – logged in error",AG247=""),"",IF(AG247&lt;TODAY(),"OVERDUE",IF(AG247-TODAY()&lt;='Start here'!$C$8,"Due soon","On track")))</f>
        <v/>
      </c>
      <c r="AJ247" s="29"/>
      <c r="AK247" s="29"/>
      <c r="AL247" s="30"/>
      <c r="AM247" s="37" t="str">
        <f aca="false">IF(AND(C247&lt;&gt;"",AH247&lt;&gt;"Closed",AH247&lt;&gt;"Void – logged in error",OR(AH247&lt;&gt;"",AD247&lt;&gt;"",AE247&lt;&gt;"",AF247&lt;&gt;"",AG247&lt;&gt;"")),ROW(),"")</f>
        <v/>
      </c>
    </row>
    <row r="248" customFormat="false" ht="30" hidden="false" customHeight="true" outlineLevel="0" collapsed="false">
      <c r="A248" s="28" t="str">
        <f aca="false">IF(C248="","","INC-"&amp;YEAR(C248)&amp;"-"&amp;TEXT(COUNTIFS($C$6:C248,"&gt;="&amp;DATE(YEAR(C248),1,1),$C$6:C248,"&lt;="&amp;DATE(YEAR(C248),12,31)),"000"))</f>
        <v/>
      </c>
      <c r="B248" s="29"/>
      <c r="C248" s="30"/>
      <c r="D248" s="31"/>
      <c r="E248" s="30"/>
      <c r="F248" s="29"/>
      <c r="G248" s="29"/>
      <c r="H248" s="29"/>
      <c r="I248" s="29"/>
      <c r="J248" s="29"/>
      <c r="K248" s="29"/>
      <c r="L248" s="29"/>
      <c r="M248" s="29"/>
      <c r="N248" s="29"/>
      <c r="O248" s="29"/>
      <c r="P248" s="29"/>
      <c r="Q248" s="32"/>
      <c r="R248" s="29"/>
      <c r="S248" s="29"/>
      <c r="T248" s="33" t="str">
        <f aca="false">IF(AH248="Void – logged in error","",IF(OR(C248="",S248=""),IF(C248="","","Decide"),IF(OR(S248="Not reportable",S248="Over-3-day injury (record only)"),"No","Yes")))</f>
        <v/>
      </c>
      <c r="U248" s="34" t="str">
        <f aca="false">IF(OR(C248="",S248=""),"",IF(S248="Over-7-day injury",C248+15,IF(OR(S248="Death",S248="Specified injury",S248="Member of public to hospital",S248="Dangerous occurrence"),C248+10,"")))</f>
        <v/>
      </c>
      <c r="V248" s="28" t="str">
        <f aca="true">IF(C248="","",IF(AH248="Void – logged in error","Void",IF(W248&lt;&gt;"","Done – reported",IF(S248="Occupational disease","REPORT NOW – on diagnosis",IF(ISNUMBER(U248),IF(U248&lt;TODAY(),"OVERDUE – report now",IF(U248=TODAY(),"DUE TODAY",IF(U248-TODAY()&lt;='Start here'!$C$7,"DUE in "&amp;(U248-TODAY())&amp;" days",IF(OR(S248="Death",S248="Specified injury",S248="Member of public to hospital",S248="Dangerous occurrence"),"REPORT without delay","Report by date shown")))),IF(AND(N(Q248)&gt;7,OR(S248="",S248="Not reportable",S248="Over-3-day injury (record only)")),"CHECK – over 7 days off",IF(S248="","Decide RIDDOR",IF(S248="Over-3-day injury (record only)","Record only","Not reportable"))))))))</f>
        <v/>
      </c>
      <c r="W248" s="30"/>
      <c r="X248" s="29"/>
      <c r="Y248" s="32"/>
      <c r="Z248" s="29"/>
      <c r="AA248" s="35"/>
      <c r="AB248" s="29"/>
      <c r="AC248" s="29"/>
      <c r="AD248" s="29"/>
      <c r="AE248" s="29"/>
      <c r="AF248" s="29"/>
      <c r="AG248" s="30"/>
      <c r="AH248" s="29"/>
      <c r="AI248" s="36" t="str">
        <f aca="true">IF(OR(C248="",AH248="Closed",AH248="Void – logged in error",AG248=""),"",IF(AG248&lt;TODAY(),"OVERDUE",IF(AG248-TODAY()&lt;='Start here'!$C$8,"Due soon","On track")))</f>
        <v/>
      </c>
      <c r="AJ248" s="29"/>
      <c r="AK248" s="29"/>
      <c r="AL248" s="30"/>
      <c r="AM248" s="37" t="str">
        <f aca="false">IF(AND(C248&lt;&gt;"",AH248&lt;&gt;"Closed",AH248&lt;&gt;"Void – logged in error",OR(AH248&lt;&gt;"",AD248&lt;&gt;"",AE248&lt;&gt;"",AF248&lt;&gt;"",AG248&lt;&gt;"")),ROW(),"")</f>
        <v/>
      </c>
    </row>
    <row r="249" customFormat="false" ht="30" hidden="false" customHeight="true" outlineLevel="0" collapsed="false">
      <c r="A249" s="28" t="str">
        <f aca="false">IF(C249="","","INC-"&amp;YEAR(C249)&amp;"-"&amp;TEXT(COUNTIFS($C$6:C249,"&gt;="&amp;DATE(YEAR(C249),1,1),$C$6:C249,"&lt;="&amp;DATE(YEAR(C249),12,31)),"000"))</f>
        <v/>
      </c>
      <c r="B249" s="29"/>
      <c r="C249" s="30"/>
      <c r="D249" s="31"/>
      <c r="E249" s="30"/>
      <c r="F249" s="29"/>
      <c r="G249" s="29"/>
      <c r="H249" s="29"/>
      <c r="I249" s="29"/>
      <c r="J249" s="29"/>
      <c r="K249" s="29"/>
      <c r="L249" s="29"/>
      <c r="M249" s="29"/>
      <c r="N249" s="29"/>
      <c r="O249" s="29"/>
      <c r="P249" s="29"/>
      <c r="Q249" s="32"/>
      <c r="R249" s="29"/>
      <c r="S249" s="29"/>
      <c r="T249" s="33" t="str">
        <f aca="false">IF(AH249="Void – logged in error","",IF(OR(C249="",S249=""),IF(C249="","","Decide"),IF(OR(S249="Not reportable",S249="Over-3-day injury (record only)"),"No","Yes")))</f>
        <v/>
      </c>
      <c r="U249" s="34" t="str">
        <f aca="false">IF(OR(C249="",S249=""),"",IF(S249="Over-7-day injury",C249+15,IF(OR(S249="Death",S249="Specified injury",S249="Member of public to hospital",S249="Dangerous occurrence"),C249+10,"")))</f>
        <v/>
      </c>
      <c r="V249" s="28" t="str">
        <f aca="true">IF(C249="","",IF(AH249="Void – logged in error","Void",IF(W249&lt;&gt;"","Done – reported",IF(S249="Occupational disease","REPORT NOW – on diagnosis",IF(ISNUMBER(U249),IF(U249&lt;TODAY(),"OVERDUE – report now",IF(U249=TODAY(),"DUE TODAY",IF(U249-TODAY()&lt;='Start here'!$C$7,"DUE in "&amp;(U249-TODAY())&amp;" days",IF(OR(S249="Death",S249="Specified injury",S249="Member of public to hospital",S249="Dangerous occurrence"),"REPORT without delay","Report by date shown")))),IF(AND(N(Q249)&gt;7,OR(S249="",S249="Not reportable",S249="Over-3-day injury (record only)")),"CHECK – over 7 days off",IF(S249="","Decide RIDDOR",IF(S249="Over-3-day injury (record only)","Record only","Not reportable"))))))))</f>
        <v/>
      </c>
      <c r="W249" s="30"/>
      <c r="X249" s="29"/>
      <c r="Y249" s="32"/>
      <c r="Z249" s="29"/>
      <c r="AA249" s="35"/>
      <c r="AB249" s="29"/>
      <c r="AC249" s="29"/>
      <c r="AD249" s="29"/>
      <c r="AE249" s="29"/>
      <c r="AF249" s="29"/>
      <c r="AG249" s="30"/>
      <c r="AH249" s="29"/>
      <c r="AI249" s="36" t="str">
        <f aca="true">IF(OR(C249="",AH249="Closed",AH249="Void – logged in error",AG249=""),"",IF(AG249&lt;TODAY(),"OVERDUE",IF(AG249-TODAY()&lt;='Start here'!$C$8,"Due soon","On track")))</f>
        <v/>
      </c>
      <c r="AJ249" s="29"/>
      <c r="AK249" s="29"/>
      <c r="AL249" s="30"/>
      <c r="AM249" s="37" t="str">
        <f aca="false">IF(AND(C249&lt;&gt;"",AH249&lt;&gt;"Closed",AH249&lt;&gt;"Void – logged in error",OR(AH249&lt;&gt;"",AD249&lt;&gt;"",AE249&lt;&gt;"",AF249&lt;&gt;"",AG249&lt;&gt;"")),ROW(),"")</f>
        <v/>
      </c>
    </row>
    <row r="250" customFormat="false" ht="30" hidden="false" customHeight="true" outlineLevel="0" collapsed="false">
      <c r="A250" s="28" t="str">
        <f aca="false">IF(C250="","","INC-"&amp;YEAR(C250)&amp;"-"&amp;TEXT(COUNTIFS($C$6:C250,"&gt;="&amp;DATE(YEAR(C250),1,1),$C$6:C250,"&lt;="&amp;DATE(YEAR(C250),12,31)),"000"))</f>
        <v/>
      </c>
      <c r="B250" s="29"/>
      <c r="C250" s="30"/>
      <c r="D250" s="31"/>
      <c r="E250" s="30"/>
      <c r="F250" s="29"/>
      <c r="G250" s="29"/>
      <c r="H250" s="29"/>
      <c r="I250" s="29"/>
      <c r="J250" s="29"/>
      <c r="K250" s="29"/>
      <c r="L250" s="29"/>
      <c r="M250" s="29"/>
      <c r="N250" s="29"/>
      <c r="O250" s="29"/>
      <c r="P250" s="29"/>
      <c r="Q250" s="32"/>
      <c r="R250" s="29"/>
      <c r="S250" s="29"/>
      <c r="T250" s="33" t="str">
        <f aca="false">IF(AH250="Void – logged in error","",IF(OR(C250="",S250=""),IF(C250="","","Decide"),IF(OR(S250="Not reportable",S250="Over-3-day injury (record only)"),"No","Yes")))</f>
        <v/>
      </c>
      <c r="U250" s="34" t="str">
        <f aca="false">IF(OR(C250="",S250=""),"",IF(S250="Over-7-day injury",C250+15,IF(OR(S250="Death",S250="Specified injury",S250="Member of public to hospital",S250="Dangerous occurrence"),C250+10,"")))</f>
        <v/>
      </c>
      <c r="V250" s="28" t="str">
        <f aca="true">IF(C250="","",IF(AH250="Void – logged in error","Void",IF(W250&lt;&gt;"","Done – reported",IF(S250="Occupational disease","REPORT NOW – on diagnosis",IF(ISNUMBER(U250),IF(U250&lt;TODAY(),"OVERDUE – report now",IF(U250=TODAY(),"DUE TODAY",IF(U250-TODAY()&lt;='Start here'!$C$7,"DUE in "&amp;(U250-TODAY())&amp;" days",IF(OR(S250="Death",S250="Specified injury",S250="Member of public to hospital",S250="Dangerous occurrence"),"REPORT without delay","Report by date shown")))),IF(AND(N(Q250)&gt;7,OR(S250="",S250="Not reportable",S250="Over-3-day injury (record only)")),"CHECK – over 7 days off",IF(S250="","Decide RIDDOR",IF(S250="Over-3-day injury (record only)","Record only","Not reportable"))))))))</f>
        <v/>
      </c>
      <c r="W250" s="30"/>
      <c r="X250" s="29"/>
      <c r="Y250" s="32"/>
      <c r="Z250" s="29"/>
      <c r="AA250" s="35"/>
      <c r="AB250" s="29"/>
      <c r="AC250" s="29"/>
      <c r="AD250" s="29"/>
      <c r="AE250" s="29"/>
      <c r="AF250" s="29"/>
      <c r="AG250" s="30"/>
      <c r="AH250" s="29"/>
      <c r="AI250" s="36" t="str">
        <f aca="true">IF(OR(C250="",AH250="Closed",AH250="Void – logged in error",AG250=""),"",IF(AG250&lt;TODAY(),"OVERDUE",IF(AG250-TODAY()&lt;='Start here'!$C$8,"Due soon","On track")))</f>
        <v/>
      </c>
      <c r="AJ250" s="29"/>
      <c r="AK250" s="29"/>
      <c r="AL250" s="30"/>
      <c r="AM250" s="37" t="str">
        <f aca="false">IF(AND(C250&lt;&gt;"",AH250&lt;&gt;"Closed",AH250&lt;&gt;"Void – logged in error",OR(AH250&lt;&gt;"",AD250&lt;&gt;"",AE250&lt;&gt;"",AF250&lt;&gt;"",AG250&lt;&gt;"")),ROW(),"")</f>
        <v/>
      </c>
    </row>
    <row r="251" customFormat="false" ht="30" hidden="false" customHeight="true" outlineLevel="0" collapsed="false">
      <c r="A251" s="28" t="str">
        <f aca="false">IF(C251="","","INC-"&amp;YEAR(C251)&amp;"-"&amp;TEXT(COUNTIFS($C$6:C251,"&gt;="&amp;DATE(YEAR(C251),1,1),$C$6:C251,"&lt;="&amp;DATE(YEAR(C251),12,31)),"000"))</f>
        <v/>
      </c>
      <c r="B251" s="29"/>
      <c r="C251" s="30"/>
      <c r="D251" s="31"/>
      <c r="E251" s="30"/>
      <c r="F251" s="29"/>
      <c r="G251" s="29"/>
      <c r="H251" s="29"/>
      <c r="I251" s="29"/>
      <c r="J251" s="29"/>
      <c r="K251" s="29"/>
      <c r="L251" s="29"/>
      <c r="M251" s="29"/>
      <c r="N251" s="29"/>
      <c r="O251" s="29"/>
      <c r="P251" s="29"/>
      <c r="Q251" s="32"/>
      <c r="R251" s="29"/>
      <c r="S251" s="29"/>
      <c r="T251" s="33" t="str">
        <f aca="false">IF(AH251="Void – logged in error","",IF(OR(C251="",S251=""),IF(C251="","","Decide"),IF(OR(S251="Not reportable",S251="Over-3-day injury (record only)"),"No","Yes")))</f>
        <v/>
      </c>
      <c r="U251" s="34" t="str">
        <f aca="false">IF(OR(C251="",S251=""),"",IF(S251="Over-7-day injury",C251+15,IF(OR(S251="Death",S251="Specified injury",S251="Member of public to hospital",S251="Dangerous occurrence"),C251+10,"")))</f>
        <v/>
      </c>
      <c r="V251" s="28" t="str">
        <f aca="true">IF(C251="","",IF(AH251="Void – logged in error","Void",IF(W251&lt;&gt;"","Done – reported",IF(S251="Occupational disease","REPORT NOW – on diagnosis",IF(ISNUMBER(U251),IF(U251&lt;TODAY(),"OVERDUE – report now",IF(U251=TODAY(),"DUE TODAY",IF(U251-TODAY()&lt;='Start here'!$C$7,"DUE in "&amp;(U251-TODAY())&amp;" days",IF(OR(S251="Death",S251="Specified injury",S251="Member of public to hospital",S251="Dangerous occurrence"),"REPORT without delay","Report by date shown")))),IF(AND(N(Q251)&gt;7,OR(S251="",S251="Not reportable",S251="Over-3-day injury (record only)")),"CHECK – over 7 days off",IF(S251="","Decide RIDDOR",IF(S251="Over-3-day injury (record only)","Record only","Not reportable"))))))))</f>
        <v/>
      </c>
      <c r="W251" s="30"/>
      <c r="X251" s="29"/>
      <c r="Y251" s="32"/>
      <c r="Z251" s="29"/>
      <c r="AA251" s="35"/>
      <c r="AB251" s="29"/>
      <c r="AC251" s="29"/>
      <c r="AD251" s="29"/>
      <c r="AE251" s="29"/>
      <c r="AF251" s="29"/>
      <c r="AG251" s="30"/>
      <c r="AH251" s="29"/>
      <c r="AI251" s="36" t="str">
        <f aca="true">IF(OR(C251="",AH251="Closed",AH251="Void – logged in error",AG251=""),"",IF(AG251&lt;TODAY(),"OVERDUE",IF(AG251-TODAY()&lt;='Start here'!$C$8,"Due soon","On track")))</f>
        <v/>
      </c>
      <c r="AJ251" s="29"/>
      <c r="AK251" s="29"/>
      <c r="AL251" s="30"/>
      <c r="AM251" s="37" t="str">
        <f aca="false">IF(AND(C251&lt;&gt;"",AH251&lt;&gt;"Closed",AH251&lt;&gt;"Void – logged in error",OR(AH251&lt;&gt;"",AD251&lt;&gt;"",AE251&lt;&gt;"",AF251&lt;&gt;"",AG251&lt;&gt;"")),ROW(),"")</f>
        <v/>
      </c>
    </row>
    <row r="252" customFormat="false" ht="30" hidden="false" customHeight="true" outlineLevel="0" collapsed="false">
      <c r="A252" s="28" t="str">
        <f aca="false">IF(C252="","","INC-"&amp;YEAR(C252)&amp;"-"&amp;TEXT(COUNTIFS($C$6:C252,"&gt;="&amp;DATE(YEAR(C252),1,1),$C$6:C252,"&lt;="&amp;DATE(YEAR(C252),12,31)),"000"))</f>
        <v/>
      </c>
      <c r="B252" s="29"/>
      <c r="C252" s="30"/>
      <c r="D252" s="31"/>
      <c r="E252" s="30"/>
      <c r="F252" s="29"/>
      <c r="G252" s="29"/>
      <c r="H252" s="29"/>
      <c r="I252" s="29"/>
      <c r="J252" s="29"/>
      <c r="K252" s="29"/>
      <c r="L252" s="29"/>
      <c r="M252" s="29"/>
      <c r="N252" s="29"/>
      <c r="O252" s="29"/>
      <c r="P252" s="29"/>
      <c r="Q252" s="32"/>
      <c r="R252" s="29"/>
      <c r="S252" s="29"/>
      <c r="T252" s="33" t="str">
        <f aca="false">IF(AH252="Void – logged in error","",IF(OR(C252="",S252=""),IF(C252="","","Decide"),IF(OR(S252="Not reportable",S252="Over-3-day injury (record only)"),"No","Yes")))</f>
        <v/>
      </c>
      <c r="U252" s="34" t="str">
        <f aca="false">IF(OR(C252="",S252=""),"",IF(S252="Over-7-day injury",C252+15,IF(OR(S252="Death",S252="Specified injury",S252="Member of public to hospital",S252="Dangerous occurrence"),C252+10,"")))</f>
        <v/>
      </c>
      <c r="V252" s="28" t="str">
        <f aca="true">IF(C252="","",IF(AH252="Void – logged in error","Void",IF(W252&lt;&gt;"","Done – reported",IF(S252="Occupational disease","REPORT NOW – on diagnosis",IF(ISNUMBER(U252),IF(U252&lt;TODAY(),"OVERDUE – report now",IF(U252=TODAY(),"DUE TODAY",IF(U252-TODAY()&lt;='Start here'!$C$7,"DUE in "&amp;(U252-TODAY())&amp;" days",IF(OR(S252="Death",S252="Specified injury",S252="Member of public to hospital",S252="Dangerous occurrence"),"REPORT without delay","Report by date shown")))),IF(AND(N(Q252)&gt;7,OR(S252="",S252="Not reportable",S252="Over-3-day injury (record only)")),"CHECK – over 7 days off",IF(S252="","Decide RIDDOR",IF(S252="Over-3-day injury (record only)","Record only","Not reportable"))))))))</f>
        <v/>
      </c>
      <c r="W252" s="30"/>
      <c r="X252" s="29"/>
      <c r="Y252" s="32"/>
      <c r="Z252" s="29"/>
      <c r="AA252" s="35"/>
      <c r="AB252" s="29"/>
      <c r="AC252" s="29"/>
      <c r="AD252" s="29"/>
      <c r="AE252" s="29"/>
      <c r="AF252" s="29"/>
      <c r="AG252" s="30"/>
      <c r="AH252" s="29"/>
      <c r="AI252" s="36" t="str">
        <f aca="true">IF(OR(C252="",AH252="Closed",AH252="Void – logged in error",AG252=""),"",IF(AG252&lt;TODAY(),"OVERDUE",IF(AG252-TODAY()&lt;='Start here'!$C$8,"Due soon","On track")))</f>
        <v/>
      </c>
      <c r="AJ252" s="29"/>
      <c r="AK252" s="29"/>
      <c r="AL252" s="30"/>
      <c r="AM252" s="37" t="str">
        <f aca="false">IF(AND(C252&lt;&gt;"",AH252&lt;&gt;"Closed",AH252&lt;&gt;"Void – logged in error",OR(AH252&lt;&gt;"",AD252&lt;&gt;"",AE252&lt;&gt;"",AF252&lt;&gt;"",AG252&lt;&gt;"")),ROW(),"")</f>
        <v/>
      </c>
    </row>
    <row r="253" customFormat="false" ht="30" hidden="false" customHeight="true" outlineLevel="0" collapsed="false">
      <c r="A253" s="28" t="str">
        <f aca="false">IF(C253="","","INC-"&amp;YEAR(C253)&amp;"-"&amp;TEXT(COUNTIFS($C$6:C253,"&gt;="&amp;DATE(YEAR(C253),1,1),$C$6:C253,"&lt;="&amp;DATE(YEAR(C253),12,31)),"000"))</f>
        <v/>
      </c>
      <c r="B253" s="29"/>
      <c r="C253" s="30"/>
      <c r="D253" s="31"/>
      <c r="E253" s="30"/>
      <c r="F253" s="29"/>
      <c r="G253" s="29"/>
      <c r="H253" s="29"/>
      <c r="I253" s="29"/>
      <c r="J253" s="29"/>
      <c r="K253" s="29"/>
      <c r="L253" s="29"/>
      <c r="M253" s="29"/>
      <c r="N253" s="29"/>
      <c r="O253" s="29"/>
      <c r="P253" s="29"/>
      <c r="Q253" s="32"/>
      <c r="R253" s="29"/>
      <c r="S253" s="29"/>
      <c r="T253" s="33" t="str">
        <f aca="false">IF(AH253="Void – logged in error","",IF(OR(C253="",S253=""),IF(C253="","","Decide"),IF(OR(S253="Not reportable",S253="Over-3-day injury (record only)"),"No","Yes")))</f>
        <v/>
      </c>
      <c r="U253" s="34" t="str">
        <f aca="false">IF(OR(C253="",S253=""),"",IF(S253="Over-7-day injury",C253+15,IF(OR(S253="Death",S253="Specified injury",S253="Member of public to hospital",S253="Dangerous occurrence"),C253+10,"")))</f>
        <v/>
      </c>
      <c r="V253" s="28" t="str">
        <f aca="true">IF(C253="","",IF(AH253="Void – logged in error","Void",IF(W253&lt;&gt;"","Done – reported",IF(S253="Occupational disease","REPORT NOW – on diagnosis",IF(ISNUMBER(U253),IF(U253&lt;TODAY(),"OVERDUE – report now",IF(U253=TODAY(),"DUE TODAY",IF(U253-TODAY()&lt;='Start here'!$C$7,"DUE in "&amp;(U253-TODAY())&amp;" days",IF(OR(S253="Death",S253="Specified injury",S253="Member of public to hospital",S253="Dangerous occurrence"),"REPORT without delay","Report by date shown")))),IF(AND(N(Q253)&gt;7,OR(S253="",S253="Not reportable",S253="Over-3-day injury (record only)")),"CHECK – over 7 days off",IF(S253="","Decide RIDDOR",IF(S253="Over-3-day injury (record only)","Record only","Not reportable"))))))))</f>
        <v/>
      </c>
      <c r="W253" s="30"/>
      <c r="X253" s="29"/>
      <c r="Y253" s="32"/>
      <c r="Z253" s="29"/>
      <c r="AA253" s="35"/>
      <c r="AB253" s="29"/>
      <c r="AC253" s="29"/>
      <c r="AD253" s="29"/>
      <c r="AE253" s="29"/>
      <c r="AF253" s="29"/>
      <c r="AG253" s="30"/>
      <c r="AH253" s="29"/>
      <c r="AI253" s="36" t="str">
        <f aca="true">IF(OR(C253="",AH253="Closed",AH253="Void – logged in error",AG253=""),"",IF(AG253&lt;TODAY(),"OVERDUE",IF(AG253-TODAY()&lt;='Start here'!$C$8,"Due soon","On track")))</f>
        <v/>
      </c>
      <c r="AJ253" s="29"/>
      <c r="AK253" s="29"/>
      <c r="AL253" s="30"/>
      <c r="AM253" s="37" t="str">
        <f aca="false">IF(AND(C253&lt;&gt;"",AH253&lt;&gt;"Closed",AH253&lt;&gt;"Void – logged in error",OR(AH253&lt;&gt;"",AD253&lt;&gt;"",AE253&lt;&gt;"",AF253&lt;&gt;"",AG253&lt;&gt;"")),ROW(),"")</f>
        <v/>
      </c>
    </row>
    <row r="254" customFormat="false" ht="30" hidden="false" customHeight="true" outlineLevel="0" collapsed="false">
      <c r="A254" s="28" t="str">
        <f aca="false">IF(C254="","","INC-"&amp;YEAR(C254)&amp;"-"&amp;TEXT(COUNTIFS($C$6:C254,"&gt;="&amp;DATE(YEAR(C254),1,1),$C$6:C254,"&lt;="&amp;DATE(YEAR(C254),12,31)),"000"))</f>
        <v/>
      </c>
      <c r="B254" s="29"/>
      <c r="C254" s="30"/>
      <c r="D254" s="31"/>
      <c r="E254" s="30"/>
      <c r="F254" s="29"/>
      <c r="G254" s="29"/>
      <c r="H254" s="29"/>
      <c r="I254" s="29"/>
      <c r="J254" s="29"/>
      <c r="K254" s="29"/>
      <c r="L254" s="29"/>
      <c r="M254" s="29"/>
      <c r="N254" s="29"/>
      <c r="O254" s="29"/>
      <c r="P254" s="29"/>
      <c r="Q254" s="32"/>
      <c r="R254" s="29"/>
      <c r="S254" s="29"/>
      <c r="T254" s="33" t="str">
        <f aca="false">IF(AH254="Void – logged in error","",IF(OR(C254="",S254=""),IF(C254="","","Decide"),IF(OR(S254="Not reportable",S254="Over-3-day injury (record only)"),"No","Yes")))</f>
        <v/>
      </c>
      <c r="U254" s="34" t="str">
        <f aca="false">IF(OR(C254="",S254=""),"",IF(S254="Over-7-day injury",C254+15,IF(OR(S254="Death",S254="Specified injury",S254="Member of public to hospital",S254="Dangerous occurrence"),C254+10,"")))</f>
        <v/>
      </c>
      <c r="V254" s="28" t="str">
        <f aca="true">IF(C254="","",IF(AH254="Void – logged in error","Void",IF(W254&lt;&gt;"","Done – reported",IF(S254="Occupational disease","REPORT NOW – on diagnosis",IF(ISNUMBER(U254),IF(U254&lt;TODAY(),"OVERDUE – report now",IF(U254=TODAY(),"DUE TODAY",IF(U254-TODAY()&lt;='Start here'!$C$7,"DUE in "&amp;(U254-TODAY())&amp;" days",IF(OR(S254="Death",S254="Specified injury",S254="Member of public to hospital",S254="Dangerous occurrence"),"REPORT without delay","Report by date shown")))),IF(AND(N(Q254)&gt;7,OR(S254="",S254="Not reportable",S254="Over-3-day injury (record only)")),"CHECK – over 7 days off",IF(S254="","Decide RIDDOR",IF(S254="Over-3-day injury (record only)","Record only","Not reportable"))))))))</f>
        <v/>
      </c>
      <c r="W254" s="30"/>
      <c r="X254" s="29"/>
      <c r="Y254" s="32"/>
      <c r="Z254" s="29"/>
      <c r="AA254" s="35"/>
      <c r="AB254" s="29"/>
      <c r="AC254" s="29"/>
      <c r="AD254" s="29"/>
      <c r="AE254" s="29"/>
      <c r="AF254" s="29"/>
      <c r="AG254" s="30"/>
      <c r="AH254" s="29"/>
      <c r="AI254" s="36" t="str">
        <f aca="true">IF(OR(C254="",AH254="Closed",AH254="Void – logged in error",AG254=""),"",IF(AG254&lt;TODAY(),"OVERDUE",IF(AG254-TODAY()&lt;='Start here'!$C$8,"Due soon","On track")))</f>
        <v/>
      </c>
      <c r="AJ254" s="29"/>
      <c r="AK254" s="29"/>
      <c r="AL254" s="30"/>
      <c r="AM254" s="37" t="str">
        <f aca="false">IF(AND(C254&lt;&gt;"",AH254&lt;&gt;"Closed",AH254&lt;&gt;"Void – logged in error",OR(AH254&lt;&gt;"",AD254&lt;&gt;"",AE254&lt;&gt;"",AF254&lt;&gt;"",AG254&lt;&gt;"")),ROW(),"")</f>
        <v/>
      </c>
    </row>
    <row r="255" customFormat="false" ht="30" hidden="false" customHeight="true" outlineLevel="0" collapsed="false">
      <c r="A255" s="28" t="str">
        <f aca="false">IF(C255="","","INC-"&amp;YEAR(C255)&amp;"-"&amp;TEXT(COUNTIFS($C$6:C255,"&gt;="&amp;DATE(YEAR(C255),1,1),$C$6:C255,"&lt;="&amp;DATE(YEAR(C255),12,31)),"000"))</f>
        <v/>
      </c>
      <c r="B255" s="29"/>
      <c r="C255" s="30"/>
      <c r="D255" s="31"/>
      <c r="E255" s="30"/>
      <c r="F255" s="29"/>
      <c r="G255" s="29"/>
      <c r="H255" s="29"/>
      <c r="I255" s="29"/>
      <c r="J255" s="29"/>
      <c r="K255" s="29"/>
      <c r="L255" s="29"/>
      <c r="M255" s="29"/>
      <c r="N255" s="29"/>
      <c r="O255" s="29"/>
      <c r="P255" s="29"/>
      <c r="Q255" s="32"/>
      <c r="R255" s="29"/>
      <c r="S255" s="29"/>
      <c r="T255" s="33" t="str">
        <f aca="false">IF(AH255="Void – logged in error","",IF(OR(C255="",S255=""),IF(C255="","","Decide"),IF(OR(S255="Not reportable",S255="Over-3-day injury (record only)"),"No","Yes")))</f>
        <v/>
      </c>
      <c r="U255" s="34" t="str">
        <f aca="false">IF(OR(C255="",S255=""),"",IF(S255="Over-7-day injury",C255+15,IF(OR(S255="Death",S255="Specified injury",S255="Member of public to hospital",S255="Dangerous occurrence"),C255+10,"")))</f>
        <v/>
      </c>
      <c r="V255" s="28" t="str">
        <f aca="true">IF(C255="","",IF(AH255="Void – logged in error","Void",IF(W255&lt;&gt;"","Done – reported",IF(S255="Occupational disease","REPORT NOW – on diagnosis",IF(ISNUMBER(U255),IF(U255&lt;TODAY(),"OVERDUE – report now",IF(U255=TODAY(),"DUE TODAY",IF(U255-TODAY()&lt;='Start here'!$C$7,"DUE in "&amp;(U255-TODAY())&amp;" days",IF(OR(S255="Death",S255="Specified injury",S255="Member of public to hospital",S255="Dangerous occurrence"),"REPORT without delay","Report by date shown")))),IF(AND(N(Q255)&gt;7,OR(S255="",S255="Not reportable",S255="Over-3-day injury (record only)")),"CHECK – over 7 days off",IF(S255="","Decide RIDDOR",IF(S255="Over-3-day injury (record only)","Record only","Not reportable"))))))))</f>
        <v/>
      </c>
      <c r="W255" s="30"/>
      <c r="X255" s="29"/>
      <c r="Y255" s="32"/>
      <c r="Z255" s="29"/>
      <c r="AA255" s="35"/>
      <c r="AB255" s="29"/>
      <c r="AC255" s="29"/>
      <c r="AD255" s="29"/>
      <c r="AE255" s="29"/>
      <c r="AF255" s="29"/>
      <c r="AG255" s="30"/>
      <c r="AH255" s="29"/>
      <c r="AI255" s="36" t="str">
        <f aca="true">IF(OR(C255="",AH255="Closed",AH255="Void – logged in error",AG255=""),"",IF(AG255&lt;TODAY(),"OVERDUE",IF(AG255-TODAY()&lt;='Start here'!$C$8,"Due soon","On track")))</f>
        <v/>
      </c>
      <c r="AJ255" s="29"/>
      <c r="AK255" s="29"/>
      <c r="AL255" s="30"/>
      <c r="AM255" s="37" t="str">
        <f aca="false">IF(AND(C255&lt;&gt;"",AH255&lt;&gt;"Closed",AH255&lt;&gt;"Void – logged in error",OR(AH255&lt;&gt;"",AD255&lt;&gt;"",AE255&lt;&gt;"",AF255&lt;&gt;"",AG255&lt;&gt;"")),ROW(),"")</f>
        <v/>
      </c>
    </row>
    <row r="256" customFormat="false" ht="30" hidden="false" customHeight="true" outlineLevel="0" collapsed="false">
      <c r="A256" s="28" t="str">
        <f aca="false">IF(C256="","","INC-"&amp;YEAR(C256)&amp;"-"&amp;TEXT(COUNTIFS($C$6:C256,"&gt;="&amp;DATE(YEAR(C256),1,1),$C$6:C256,"&lt;="&amp;DATE(YEAR(C256),12,31)),"000"))</f>
        <v/>
      </c>
      <c r="B256" s="29"/>
      <c r="C256" s="30"/>
      <c r="D256" s="31"/>
      <c r="E256" s="30"/>
      <c r="F256" s="29"/>
      <c r="G256" s="29"/>
      <c r="H256" s="29"/>
      <c r="I256" s="29"/>
      <c r="J256" s="29"/>
      <c r="K256" s="29"/>
      <c r="L256" s="29"/>
      <c r="M256" s="29"/>
      <c r="N256" s="29"/>
      <c r="O256" s="29"/>
      <c r="P256" s="29"/>
      <c r="Q256" s="32"/>
      <c r="R256" s="29"/>
      <c r="S256" s="29"/>
      <c r="T256" s="33" t="str">
        <f aca="false">IF(AH256="Void – logged in error","",IF(OR(C256="",S256=""),IF(C256="","","Decide"),IF(OR(S256="Not reportable",S256="Over-3-day injury (record only)"),"No","Yes")))</f>
        <v/>
      </c>
      <c r="U256" s="34" t="str">
        <f aca="false">IF(OR(C256="",S256=""),"",IF(S256="Over-7-day injury",C256+15,IF(OR(S256="Death",S256="Specified injury",S256="Member of public to hospital",S256="Dangerous occurrence"),C256+10,"")))</f>
        <v/>
      </c>
      <c r="V256" s="28" t="str">
        <f aca="true">IF(C256="","",IF(AH256="Void – logged in error","Void",IF(W256&lt;&gt;"","Done – reported",IF(S256="Occupational disease","REPORT NOW – on diagnosis",IF(ISNUMBER(U256),IF(U256&lt;TODAY(),"OVERDUE – report now",IF(U256=TODAY(),"DUE TODAY",IF(U256-TODAY()&lt;='Start here'!$C$7,"DUE in "&amp;(U256-TODAY())&amp;" days",IF(OR(S256="Death",S256="Specified injury",S256="Member of public to hospital",S256="Dangerous occurrence"),"REPORT without delay","Report by date shown")))),IF(AND(N(Q256)&gt;7,OR(S256="",S256="Not reportable",S256="Over-3-day injury (record only)")),"CHECK – over 7 days off",IF(S256="","Decide RIDDOR",IF(S256="Over-3-day injury (record only)","Record only","Not reportable"))))))))</f>
        <v/>
      </c>
      <c r="W256" s="30"/>
      <c r="X256" s="29"/>
      <c r="Y256" s="32"/>
      <c r="Z256" s="29"/>
      <c r="AA256" s="35"/>
      <c r="AB256" s="29"/>
      <c r="AC256" s="29"/>
      <c r="AD256" s="29"/>
      <c r="AE256" s="29"/>
      <c r="AF256" s="29"/>
      <c r="AG256" s="30"/>
      <c r="AH256" s="29"/>
      <c r="AI256" s="36" t="str">
        <f aca="true">IF(OR(C256="",AH256="Closed",AH256="Void – logged in error",AG256=""),"",IF(AG256&lt;TODAY(),"OVERDUE",IF(AG256-TODAY()&lt;='Start here'!$C$8,"Due soon","On track")))</f>
        <v/>
      </c>
      <c r="AJ256" s="29"/>
      <c r="AK256" s="29"/>
      <c r="AL256" s="30"/>
      <c r="AM256" s="37" t="str">
        <f aca="false">IF(AND(C256&lt;&gt;"",AH256&lt;&gt;"Closed",AH256&lt;&gt;"Void – logged in error",OR(AH256&lt;&gt;"",AD256&lt;&gt;"",AE256&lt;&gt;"",AF256&lt;&gt;"",AG256&lt;&gt;"")),ROW(),"")</f>
        <v/>
      </c>
    </row>
    <row r="257" customFormat="false" ht="30" hidden="false" customHeight="true" outlineLevel="0" collapsed="false">
      <c r="A257" s="28" t="str">
        <f aca="false">IF(C257="","","INC-"&amp;YEAR(C257)&amp;"-"&amp;TEXT(COUNTIFS($C$6:C257,"&gt;="&amp;DATE(YEAR(C257),1,1),$C$6:C257,"&lt;="&amp;DATE(YEAR(C257),12,31)),"000"))</f>
        <v/>
      </c>
      <c r="B257" s="29"/>
      <c r="C257" s="30"/>
      <c r="D257" s="31"/>
      <c r="E257" s="30"/>
      <c r="F257" s="29"/>
      <c r="G257" s="29"/>
      <c r="H257" s="29"/>
      <c r="I257" s="29"/>
      <c r="J257" s="29"/>
      <c r="K257" s="29"/>
      <c r="L257" s="29"/>
      <c r="M257" s="29"/>
      <c r="N257" s="29"/>
      <c r="O257" s="29"/>
      <c r="P257" s="29"/>
      <c r="Q257" s="32"/>
      <c r="R257" s="29"/>
      <c r="S257" s="29"/>
      <c r="T257" s="33" t="str">
        <f aca="false">IF(AH257="Void – logged in error","",IF(OR(C257="",S257=""),IF(C257="","","Decide"),IF(OR(S257="Not reportable",S257="Over-3-day injury (record only)"),"No","Yes")))</f>
        <v/>
      </c>
      <c r="U257" s="34" t="str">
        <f aca="false">IF(OR(C257="",S257=""),"",IF(S257="Over-7-day injury",C257+15,IF(OR(S257="Death",S257="Specified injury",S257="Member of public to hospital",S257="Dangerous occurrence"),C257+10,"")))</f>
        <v/>
      </c>
      <c r="V257" s="28" t="str">
        <f aca="true">IF(C257="","",IF(AH257="Void – logged in error","Void",IF(W257&lt;&gt;"","Done – reported",IF(S257="Occupational disease","REPORT NOW – on diagnosis",IF(ISNUMBER(U257),IF(U257&lt;TODAY(),"OVERDUE – report now",IF(U257=TODAY(),"DUE TODAY",IF(U257-TODAY()&lt;='Start here'!$C$7,"DUE in "&amp;(U257-TODAY())&amp;" days",IF(OR(S257="Death",S257="Specified injury",S257="Member of public to hospital",S257="Dangerous occurrence"),"REPORT without delay","Report by date shown")))),IF(AND(N(Q257)&gt;7,OR(S257="",S257="Not reportable",S257="Over-3-day injury (record only)")),"CHECK – over 7 days off",IF(S257="","Decide RIDDOR",IF(S257="Over-3-day injury (record only)","Record only","Not reportable"))))))))</f>
        <v/>
      </c>
      <c r="W257" s="30"/>
      <c r="X257" s="29"/>
      <c r="Y257" s="32"/>
      <c r="Z257" s="29"/>
      <c r="AA257" s="35"/>
      <c r="AB257" s="29"/>
      <c r="AC257" s="29"/>
      <c r="AD257" s="29"/>
      <c r="AE257" s="29"/>
      <c r="AF257" s="29"/>
      <c r="AG257" s="30"/>
      <c r="AH257" s="29"/>
      <c r="AI257" s="36" t="str">
        <f aca="true">IF(OR(C257="",AH257="Closed",AH257="Void – logged in error",AG257=""),"",IF(AG257&lt;TODAY(),"OVERDUE",IF(AG257-TODAY()&lt;='Start here'!$C$8,"Due soon","On track")))</f>
        <v/>
      </c>
      <c r="AJ257" s="29"/>
      <c r="AK257" s="29"/>
      <c r="AL257" s="30"/>
      <c r="AM257" s="37" t="str">
        <f aca="false">IF(AND(C257&lt;&gt;"",AH257&lt;&gt;"Closed",AH257&lt;&gt;"Void – logged in error",OR(AH257&lt;&gt;"",AD257&lt;&gt;"",AE257&lt;&gt;"",AF257&lt;&gt;"",AG257&lt;&gt;"")),ROW(),"")</f>
        <v/>
      </c>
    </row>
    <row r="258" customFormat="false" ht="30" hidden="false" customHeight="true" outlineLevel="0" collapsed="false">
      <c r="A258" s="28" t="str">
        <f aca="false">IF(C258="","","INC-"&amp;YEAR(C258)&amp;"-"&amp;TEXT(COUNTIFS($C$6:C258,"&gt;="&amp;DATE(YEAR(C258),1,1),$C$6:C258,"&lt;="&amp;DATE(YEAR(C258),12,31)),"000"))</f>
        <v/>
      </c>
      <c r="B258" s="29"/>
      <c r="C258" s="30"/>
      <c r="D258" s="31"/>
      <c r="E258" s="30"/>
      <c r="F258" s="29"/>
      <c r="G258" s="29"/>
      <c r="H258" s="29"/>
      <c r="I258" s="29"/>
      <c r="J258" s="29"/>
      <c r="K258" s="29"/>
      <c r="L258" s="29"/>
      <c r="M258" s="29"/>
      <c r="N258" s="29"/>
      <c r="O258" s="29"/>
      <c r="P258" s="29"/>
      <c r="Q258" s="32"/>
      <c r="R258" s="29"/>
      <c r="S258" s="29"/>
      <c r="T258" s="33" t="str">
        <f aca="false">IF(AH258="Void – logged in error","",IF(OR(C258="",S258=""),IF(C258="","","Decide"),IF(OR(S258="Not reportable",S258="Over-3-day injury (record only)"),"No","Yes")))</f>
        <v/>
      </c>
      <c r="U258" s="34" t="str">
        <f aca="false">IF(OR(C258="",S258=""),"",IF(S258="Over-7-day injury",C258+15,IF(OR(S258="Death",S258="Specified injury",S258="Member of public to hospital",S258="Dangerous occurrence"),C258+10,"")))</f>
        <v/>
      </c>
      <c r="V258" s="28" t="str">
        <f aca="true">IF(C258="","",IF(AH258="Void – logged in error","Void",IF(W258&lt;&gt;"","Done – reported",IF(S258="Occupational disease","REPORT NOW – on diagnosis",IF(ISNUMBER(U258),IF(U258&lt;TODAY(),"OVERDUE – report now",IF(U258=TODAY(),"DUE TODAY",IF(U258-TODAY()&lt;='Start here'!$C$7,"DUE in "&amp;(U258-TODAY())&amp;" days",IF(OR(S258="Death",S258="Specified injury",S258="Member of public to hospital",S258="Dangerous occurrence"),"REPORT without delay","Report by date shown")))),IF(AND(N(Q258)&gt;7,OR(S258="",S258="Not reportable",S258="Over-3-day injury (record only)")),"CHECK – over 7 days off",IF(S258="","Decide RIDDOR",IF(S258="Over-3-day injury (record only)","Record only","Not reportable"))))))))</f>
        <v/>
      </c>
      <c r="W258" s="30"/>
      <c r="X258" s="29"/>
      <c r="Y258" s="32"/>
      <c r="Z258" s="29"/>
      <c r="AA258" s="35"/>
      <c r="AB258" s="29"/>
      <c r="AC258" s="29"/>
      <c r="AD258" s="29"/>
      <c r="AE258" s="29"/>
      <c r="AF258" s="29"/>
      <c r="AG258" s="30"/>
      <c r="AH258" s="29"/>
      <c r="AI258" s="36" t="str">
        <f aca="true">IF(OR(C258="",AH258="Closed",AH258="Void – logged in error",AG258=""),"",IF(AG258&lt;TODAY(),"OVERDUE",IF(AG258-TODAY()&lt;='Start here'!$C$8,"Due soon","On track")))</f>
        <v/>
      </c>
      <c r="AJ258" s="29"/>
      <c r="AK258" s="29"/>
      <c r="AL258" s="30"/>
      <c r="AM258" s="37" t="str">
        <f aca="false">IF(AND(C258&lt;&gt;"",AH258&lt;&gt;"Closed",AH258&lt;&gt;"Void – logged in error",OR(AH258&lt;&gt;"",AD258&lt;&gt;"",AE258&lt;&gt;"",AF258&lt;&gt;"",AG258&lt;&gt;"")),ROW(),"")</f>
        <v/>
      </c>
    </row>
    <row r="259" customFormat="false" ht="30" hidden="false" customHeight="true" outlineLevel="0" collapsed="false">
      <c r="A259" s="28" t="str">
        <f aca="false">IF(C259="","","INC-"&amp;YEAR(C259)&amp;"-"&amp;TEXT(COUNTIFS($C$6:C259,"&gt;="&amp;DATE(YEAR(C259),1,1),$C$6:C259,"&lt;="&amp;DATE(YEAR(C259),12,31)),"000"))</f>
        <v/>
      </c>
      <c r="B259" s="29"/>
      <c r="C259" s="30"/>
      <c r="D259" s="31"/>
      <c r="E259" s="30"/>
      <c r="F259" s="29"/>
      <c r="G259" s="29"/>
      <c r="H259" s="29"/>
      <c r="I259" s="29"/>
      <c r="J259" s="29"/>
      <c r="K259" s="29"/>
      <c r="L259" s="29"/>
      <c r="M259" s="29"/>
      <c r="N259" s="29"/>
      <c r="O259" s="29"/>
      <c r="P259" s="29"/>
      <c r="Q259" s="32"/>
      <c r="R259" s="29"/>
      <c r="S259" s="29"/>
      <c r="T259" s="33" t="str">
        <f aca="false">IF(AH259="Void – logged in error","",IF(OR(C259="",S259=""),IF(C259="","","Decide"),IF(OR(S259="Not reportable",S259="Over-3-day injury (record only)"),"No","Yes")))</f>
        <v/>
      </c>
      <c r="U259" s="34" t="str">
        <f aca="false">IF(OR(C259="",S259=""),"",IF(S259="Over-7-day injury",C259+15,IF(OR(S259="Death",S259="Specified injury",S259="Member of public to hospital",S259="Dangerous occurrence"),C259+10,"")))</f>
        <v/>
      </c>
      <c r="V259" s="28" t="str">
        <f aca="true">IF(C259="","",IF(AH259="Void – logged in error","Void",IF(W259&lt;&gt;"","Done – reported",IF(S259="Occupational disease","REPORT NOW – on diagnosis",IF(ISNUMBER(U259),IF(U259&lt;TODAY(),"OVERDUE – report now",IF(U259=TODAY(),"DUE TODAY",IF(U259-TODAY()&lt;='Start here'!$C$7,"DUE in "&amp;(U259-TODAY())&amp;" days",IF(OR(S259="Death",S259="Specified injury",S259="Member of public to hospital",S259="Dangerous occurrence"),"REPORT without delay","Report by date shown")))),IF(AND(N(Q259)&gt;7,OR(S259="",S259="Not reportable",S259="Over-3-day injury (record only)")),"CHECK – over 7 days off",IF(S259="","Decide RIDDOR",IF(S259="Over-3-day injury (record only)","Record only","Not reportable"))))))))</f>
        <v/>
      </c>
      <c r="W259" s="30"/>
      <c r="X259" s="29"/>
      <c r="Y259" s="32"/>
      <c r="Z259" s="29"/>
      <c r="AA259" s="35"/>
      <c r="AB259" s="29"/>
      <c r="AC259" s="29"/>
      <c r="AD259" s="29"/>
      <c r="AE259" s="29"/>
      <c r="AF259" s="29"/>
      <c r="AG259" s="30"/>
      <c r="AH259" s="29"/>
      <c r="AI259" s="36" t="str">
        <f aca="true">IF(OR(C259="",AH259="Closed",AH259="Void – logged in error",AG259=""),"",IF(AG259&lt;TODAY(),"OVERDUE",IF(AG259-TODAY()&lt;='Start here'!$C$8,"Due soon","On track")))</f>
        <v/>
      </c>
      <c r="AJ259" s="29"/>
      <c r="AK259" s="29"/>
      <c r="AL259" s="30"/>
      <c r="AM259" s="37" t="str">
        <f aca="false">IF(AND(C259&lt;&gt;"",AH259&lt;&gt;"Closed",AH259&lt;&gt;"Void – logged in error",OR(AH259&lt;&gt;"",AD259&lt;&gt;"",AE259&lt;&gt;"",AF259&lt;&gt;"",AG259&lt;&gt;"")),ROW(),"")</f>
        <v/>
      </c>
    </row>
    <row r="260" customFormat="false" ht="30" hidden="false" customHeight="true" outlineLevel="0" collapsed="false">
      <c r="A260" s="28" t="str">
        <f aca="false">IF(C260="","","INC-"&amp;YEAR(C260)&amp;"-"&amp;TEXT(COUNTIFS($C$6:C260,"&gt;="&amp;DATE(YEAR(C260),1,1),$C$6:C260,"&lt;="&amp;DATE(YEAR(C260),12,31)),"000"))</f>
        <v/>
      </c>
      <c r="B260" s="29"/>
      <c r="C260" s="30"/>
      <c r="D260" s="31"/>
      <c r="E260" s="30"/>
      <c r="F260" s="29"/>
      <c r="G260" s="29"/>
      <c r="H260" s="29"/>
      <c r="I260" s="29"/>
      <c r="J260" s="29"/>
      <c r="K260" s="29"/>
      <c r="L260" s="29"/>
      <c r="M260" s="29"/>
      <c r="N260" s="29"/>
      <c r="O260" s="29"/>
      <c r="P260" s="29"/>
      <c r="Q260" s="32"/>
      <c r="R260" s="29"/>
      <c r="S260" s="29"/>
      <c r="T260" s="33" t="str">
        <f aca="false">IF(AH260="Void – logged in error","",IF(OR(C260="",S260=""),IF(C260="","","Decide"),IF(OR(S260="Not reportable",S260="Over-3-day injury (record only)"),"No","Yes")))</f>
        <v/>
      </c>
      <c r="U260" s="34" t="str">
        <f aca="false">IF(OR(C260="",S260=""),"",IF(S260="Over-7-day injury",C260+15,IF(OR(S260="Death",S260="Specified injury",S260="Member of public to hospital",S260="Dangerous occurrence"),C260+10,"")))</f>
        <v/>
      </c>
      <c r="V260" s="28" t="str">
        <f aca="true">IF(C260="","",IF(AH260="Void – logged in error","Void",IF(W260&lt;&gt;"","Done – reported",IF(S260="Occupational disease","REPORT NOW – on diagnosis",IF(ISNUMBER(U260),IF(U260&lt;TODAY(),"OVERDUE – report now",IF(U260=TODAY(),"DUE TODAY",IF(U260-TODAY()&lt;='Start here'!$C$7,"DUE in "&amp;(U260-TODAY())&amp;" days",IF(OR(S260="Death",S260="Specified injury",S260="Member of public to hospital",S260="Dangerous occurrence"),"REPORT without delay","Report by date shown")))),IF(AND(N(Q260)&gt;7,OR(S260="",S260="Not reportable",S260="Over-3-day injury (record only)")),"CHECK – over 7 days off",IF(S260="","Decide RIDDOR",IF(S260="Over-3-day injury (record only)","Record only","Not reportable"))))))))</f>
        <v/>
      </c>
      <c r="W260" s="30"/>
      <c r="X260" s="29"/>
      <c r="Y260" s="32"/>
      <c r="Z260" s="29"/>
      <c r="AA260" s="35"/>
      <c r="AB260" s="29"/>
      <c r="AC260" s="29"/>
      <c r="AD260" s="29"/>
      <c r="AE260" s="29"/>
      <c r="AF260" s="29"/>
      <c r="AG260" s="30"/>
      <c r="AH260" s="29"/>
      <c r="AI260" s="36" t="str">
        <f aca="true">IF(OR(C260="",AH260="Closed",AH260="Void – logged in error",AG260=""),"",IF(AG260&lt;TODAY(),"OVERDUE",IF(AG260-TODAY()&lt;='Start here'!$C$8,"Due soon","On track")))</f>
        <v/>
      </c>
      <c r="AJ260" s="29"/>
      <c r="AK260" s="29"/>
      <c r="AL260" s="30"/>
      <c r="AM260" s="37" t="str">
        <f aca="false">IF(AND(C260&lt;&gt;"",AH260&lt;&gt;"Closed",AH260&lt;&gt;"Void – logged in error",OR(AH260&lt;&gt;"",AD260&lt;&gt;"",AE260&lt;&gt;"",AF260&lt;&gt;"",AG260&lt;&gt;"")),ROW(),"")</f>
        <v/>
      </c>
    </row>
    <row r="261" customFormat="false" ht="30" hidden="false" customHeight="true" outlineLevel="0" collapsed="false">
      <c r="A261" s="28" t="str">
        <f aca="false">IF(C261="","","INC-"&amp;YEAR(C261)&amp;"-"&amp;TEXT(COUNTIFS($C$6:C261,"&gt;="&amp;DATE(YEAR(C261),1,1),$C$6:C261,"&lt;="&amp;DATE(YEAR(C261),12,31)),"000"))</f>
        <v/>
      </c>
      <c r="B261" s="29"/>
      <c r="C261" s="30"/>
      <c r="D261" s="31"/>
      <c r="E261" s="30"/>
      <c r="F261" s="29"/>
      <c r="G261" s="29"/>
      <c r="H261" s="29"/>
      <c r="I261" s="29"/>
      <c r="J261" s="29"/>
      <c r="K261" s="29"/>
      <c r="L261" s="29"/>
      <c r="M261" s="29"/>
      <c r="N261" s="29"/>
      <c r="O261" s="29"/>
      <c r="P261" s="29"/>
      <c r="Q261" s="32"/>
      <c r="R261" s="29"/>
      <c r="S261" s="29"/>
      <c r="T261" s="33" t="str">
        <f aca="false">IF(AH261="Void – logged in error","",IF(OR(C261="",S261=""),IF(C261="","","Decide"),IF(OR(S261="Not reportable",S261="Over-3-day injury (record only)"),"No","Yes")))</f>
        <v/>
      </c>
      <c r="U261" s="34" t="str">
        <f aca="false">IF(OR(C261="",S261=""),"",IF(S261="Over-7-day injury",C261+15,IF(OR(S261="Death",S261="Specified injury",S261="Member of public to hospital",S261="Dangerous occurrence"),C261+10,"")))</f>
        <v/>
      </c>
      <c r="V261" s="28" t="str">
        <f aca="true">IF(C261="","",IF(AH261="Void – logged in error","Void",IF(W261&lt;&gt;"","Done – reported",IF(S261="Occupational disease","REPORT NOW – on diagnosis",IF(ISNUMBER(U261),IF(U261&lt;TODAY(),"OVERDUE – report now",IF(U261=TODAY(),"DUE TODAY",IF(U261-TODAY()&lt;='Start here'!$C$7,"DUE in "&amp;(U261-TODAY())&amp;" days",IF(OR(S261="Death",S261="Specified injury",S261="Member of public to hospital",S261="Dangerous occurrence"),"REPORT without delay","Report by date shown")))),IF(AND(N(Q261)&gt;7,OR(S261="",S261="Not reportable",S261="Over-3-day injury (record only)")),"CHECK – over 7 days off",IF(S261="","Decide RIDDOR",IF(S261="Over-3-day injury (record only)","Record only","Not reportable"))))))))</f>
        <v/>
      </c>
      <c r="W261" s="30"/>
      <c r="X261" s="29"/>
      <c r="Y261" s="32"/>
      <c r="Z261" s="29"/>
      <c r="AA261" s="35"/>
      <c r="AB261" s="29"/>
      <c r="AC261" s="29"/>
      <c r="AD261" s="29"/>
      <c r="AE261" s="29"/>
      <c r="AF261" s="29"/>
      <c r="AG261" s="30"/>
      <c r="AH261" s="29"/>
      <c r="AI261" s="36" t="str">
        <f aca="true">IF(OR(C261="",AH261="Closed",AH261="Void – logged in error",AG261=""),"",IF(AG261&lt;TODAY(),"OVERDUE",IF(AG261-TODAY()&lt;='Start here'!$C$8,"Due soon","On track")))</f>
        <v/>
      </c>
      <c r="AJ261" s="29"/>
      <c r="AK261" s="29"/>
      <c r="AL261" s="30"/>
      <c r="AM261" s="37" t="str">
        <f aca="false">IF(AND(C261&lt;&gt;"",AH261&lt;&gt;"Closed",AH261&lt;&gt;"Void – logged in error",OR(AH261&lt;&gt;"",AD261&lt;&gt;"",AE261&lt;&gt;"",AF261&lt;&gt;"",AG261&lt;&gt;"")),ROW(),"")</f>
        <v/>
      </c>
    </row>
    <row r="262" customFormat="false" ht="30" hidden="false" customHeight="true" outlineLevel="0" collapsed="false">
      <c r="A262" s="28" t="str">
        <f aca="false">IF(C262="","","INC-"&amp;YEAR(C262)&amp;"-"&amp;TEXT(COUNTIFS($C$6:C262,"&gt;="&amp;DATE(YEAR(C262),1,1),$C$6:C262,"&lt;="&amp;DATE(YEAR(C262),12,31)),"000"))</f>
        <v/>
      </c>
      <c r="B262" s="29"/>
      <c r="C262" s="30"/>
      <c r="D262" s="31"/>
      <c r="E262" s="30"/>
      <c r="F262" s="29"/>
      <c r="G262" s="29"/>
      <c r="H262" s="29"/>
      <c r="I262" s="29"/>
      <c r="J262" s="29"/>
      <c r="K262" s="29"/>
      <c r="L262" s="29"/>
      <c r="M262" s="29"/>
      <c r="N262" s="29"/>
      <c r="O262" s="29"/>
      <c r="P262" s="29"/>
      <c r="Q262" s="32"/>
      <c r="R262" s="29"/>
      <c r="S262" s="29"/>
      <c r="T262" s="33" t="str">
        <f aca="false">IF(AH262="Void – logged in error","",IF(OR(C262="",S262=""),IF(C262="","","Decide"),IF(OR(S262="Not reportable",S262="Over-3-day injury (record only)"),"No","Yes")))</f>
        <v/>
      </c>
      <c r="U262" s="34" t="str">
        <f aca="false">IF(OR(C262="",S262=""),"",IF(S262="Over-7-day injury",C262+15,IF(OR(S262="Death",S262="Specified injury",S262="Member of public to hospital",S262="Dangerous occurrence"),C262+10,"")))</f>
        <v/>
      </c>
      <c r="V262" s="28" t="str">
        <f aca="true">IF(C262="","",IF(AH262="Void – logged in error","Void",IF(W262&lt;&gt;"","Done – reported",IF(S262="Occupational disease","REPORT NOW – on diagnosis",IF(ISNUMBER(U262),IF(U262&lt;TODAY(),"OVERDUE – report now",IF(U262=TODAY(),"DUE TODAY",IF(U262-TODAY()&lt;='Start here'!$C$7,"DUE in "&amp;(U262-TODAY())&amp;" days",IF(OR(S262="Death",S262="Specified injury",S262="Member of public to hospital",S262="Dangerous occurrence"),"REPORT without delay","Report by date shown")))),IF(AND(N(Q262)&gt;7,OR(S262="",S262="Not reportable",S262="Over-3-day injury (record only)")),"CHECK – over 7 days off",IF(S262="","Decide RIDDOR",IF(S262="Over-3-day injury (record only)","Record only","Not reportable"))))))))</f>
        <v/>
      </c>
      <c r="W262" s="30"/>
      <c r="X262" s="29"/>
      <c r="Y262" s="32"/>
      <c r="Z262" s="29"/>
      <c r="AA262" s="35"/>
      <c r="AB262" s="29"/>
      <c r="AC262" s="29"/>
      <c r="AD262" s="29"/>
      <c r="AE262" s="29"/>
      <c r="AF262" s="29"/>
      <c r="AG262" s="30"/>
      <c r="AH262" s="29"/>
      <c r="AI262" s="36" t="str">
        <f aca="true">IF(OR(C262="",AH262="Closed",AH262="Void – logged in error",AG262=""),"",IF(AG262&lt;TODAY(),"OVERDUE",IF(AG262-TODAY()&lt;='Start here'!$C$8,"Due soon","On track")))</f>
        <v/>
      </c>
      <c r="AJ262" s="29"/>
      <c r="AK262" s="29"/>
      <c r="AL262" s="30"/>
      <c r="AM262" s="37" t="str">
        <f aca="false">IF(AND(C262&lt;&gt;"",AH262&lt;&gt;"Closed",AH262&lt;&gt;"Void – logged in error",OR(AH262&lt;&gt;"",AD262&lt;&gt;"",AE262&lt;&gt;"",AF262&lt;&gt;"",AG262&lt;&gt;"")),ROW(),"")</f>
        <v/>
      </c>
    </row>
    <row r="263" customFormat="false" ht="30" hidden="false" customHeight="true" outlineLevel="0" collapsed="false">
      <c r="A263" s="28" t="str">
        <f aca="false">IF(C263="","","INC-"&amp;YEAR(C263)&amp;"-"&amp;TEXT(COUNTIFS($C$6:C263,"&gt;="&amp;DATE(YEAR(C263),1,1),$C$6:C263,"&lt;="&amp;DATE(YEAR(C263),12,31)),"000"))</f>
        <v/>
      </c>
      <c r="B263" s="29"/>
      <c r="C263" s="30"/>
      <c r="D263" s="31"/>
      <c r="E263" s="30"/>
      <c r="F263" s="29"/>
      <c r="G263" s="29"/>
      <c r="H263" s="29"/>
      <c r="I263" s="29"/>
      <c r="J263" s="29"/>
      <c r="K263" s="29"/>
      <c r="L263" s="29"/>
      <c r="M263" s="29"/>
      <c r="N263" s="29"/>
      <c r="O263" s="29"/>
      <c r="P263" s="29"/>
      <c r="Q263" s="32"/>
      <c r="R263" s="29"/>
      <c r="S263" s="29"/>
      <c r="T263" s="33" t="str">
        <f aca="false">IF(AH263="Void – logged in error","",IF(OR(C263="",S263=""),IF(C263="","","Decide"),IF(OR(S263="Not reportable",S263="Over-3-day injury (record only)"),"No","Yes")))</f>
        <v/>
      </c>
      <c r="U263" s="34" t="str">
        <f aca="false">IF(OR(C263="",S263=""),"",IF(S263="Over-7-day injury",C263+15,IF(OR(S263="Death",S263="Specified injury",S263="Member of public to hospital",S263="Dangerous occurrence"),C263+10,"")))</f>
        <v/>
      </c>
      <c r="V263" s="28" t="str">
        <f aca="true">IF(C263="","",IF(AH263="Void – logged in error","Void",IF(W263&lt;&gt;"","Done – reported",IF(S263="Occupational disease","REPORT NOW – on diagnosis",IF(ISNUMBER(U263),IF(U263&lt;TODAY(),"OVERDUE – report now",IF(U263=TODAY(),"DUE TODAY",IF(U263-TODAY()&lt;='Start here'!$C$7,"DUE in "&amp;(U263-TODAY())&amp;" days",IF(OR(S263="Death",S263="Specified injury",S263="Member of public to hospital",S263="Dangerous occurrence"),"REPORT without delay","Report by date shown")))),IF(AND(N(Q263)&gt;7,OR(S263="",S263="Not reportable",S263="Over-3-day injury (record only)")),"CHECK – over 7 days off",IF(S263="","Decide RIDDOR",IF(S263="Over-3-day injury (record only)","Record only","Not reportable"))))))))</f>
        <v/>
      </c>
      <c r="W263" s="30"/>
      <c r="X263" s="29"/>
      <c r="Y263" s="32"/>
      <c r="Z263" s="29"/>
      <c r="AA263" s="35"/>
      <c r="AB263" s="29"/>
      <c r="AC263" s="29"/>
      <c r="AD263" s="29"/>
      <c r="AE263" s="29"/>
      <c r="AF263" s="29"/>
      <c r="AG263" s="30"/>
      <c r="AH263" s="29"/>
      <c r="AI263" s="36" t="str">
        <f aca="true">IF(OR(C263="",AH263="Closed",AH263="Void – logged in error",AG263=""),"",IF(AG263&lt;TODAY(),"OVERDUE",IF(AG263-TODAY()&lt;='Start here'!$C$8,"Due soon","On track")))</f>
        <v/>
      </c>
      <c r="AJ263" s="29"/>
      <c r="AK263" s="29"/>
      <c r="AL263" s="30"/>
      <c r="AM263" s="37" t="str">
        <f aca="false">IF(AND(C263&lt;&gt;"",AH263&lt;&gt;"Closed",AH263&lt;&gt;"Void – logged in error",OR(AH263&lt;&gt;"",AD263&lt;&gt;"",AE263&lt;&gt;"",AF263&lt;&gt;"",AG263&lt;&gt;"")),ROW(),"")</f>
        <v/>
      </c>
    </row>
    <row r="264" customFormat="false" ht="30" hidden="false" customHeight="true" outlineLevel="0" collapsed="false">
      <c r="A264" s="28" t="str">
        <f aca="false">IF(C264="","","INC-"&amp;YEAR(C264)&amp;"-"&amp;TEXT(COUNTIFS($C$6:C264,"&gt;="&amp;DATE(YEAR(C264),1,1),$C$6:C264,"&lt;="&amp;DATE(YEAR(C264),12,31)),"000"))</f>
        <v/>
      </c>
      <c r="B264" s="29"/>
      <c r="C264" s="30"/>
      <c r="D264" s="31"/>
      <c r="E264" s="30"/>
      <c r="F264" s="29"/>
      <c r="G264" s="29"/>
      <c r="H264" s="29"/>
      <c r="I264" s="29"/>
      <c r="J264" s="29"/>
      <c r="K264" s="29"/>
      <c r="L264" s="29"/>
      <c r="M264" s="29"/>
      <c r="N264" s="29"/>
      <c r="O264" s="29"/>
      <c r="P264" s="29"/>
      <c r="Q264" s="32"/>
      <c r="R264" s="29"/>
      <c r="S264" s="29"/>
      <c r="T264" s="33" t="str">
        <f aca="false">IF(AH264="Void – logged in error","",IF(OR(C264="",S264=""),IF(C264="","","Decide"),IF(OR(S264="Not reportable",S264="Over-3-day injury (record only)"),"No","Yes")))</f>
        <v/>
      </c>
      <c r="U264" s="34" t="str">
        <f aca="false">IF(OR(C264="",S264=""),"",IF(S264="Over-7-day injury",C264+15,IF(OR(S264="Death",S264="Specified injury",S264="Member of public to hospital",S264="Dangerous occurrence"),C264+10,"")))</f>
        <v/>
      </c>
      <c r="V264" s="28" t="str">
        <f aca="true">IF(C264="","",IF(AH264="Void – logged in error","Void",IF(W264&lt;&gt;"","Done – reported",IF(S264="Occupational disease","REPORT NOW – on diagnosis",IF(ISNUMBER(U264),IF(U264&lt;TODAY(),"OVERDUE – report now",IF(U264=TODAY(),"DUE TODAY",IF(U264-TODAY()&lt;='Start here'!$C$7,"DUE in "&amp;(U264-TODAY())&amp;" days",IF(OR(S264="Death",S264="Specified injury",S264="Member of public to hospital",S264="Dangerous occurrence"),"REPORT without delay","Report by date shown")))),IF(AND(N(Q264)&gt;7,OR(S264="",S264="Not reportable",S264="Over-3-day injury (record only)")),"CHECK – over 7 days off",IF(S264="","Decide RIDDOR",IF(S264="Over-3-day injury (record only)","Record only","Not reportable"))))))))</f>
        <v/>
      </c>
      <c r="W264" s="30"/>
      <c r="X264" s="29"/>
      <c r="Y264" s="32"/>
      <c r="Z264" s="29"/>
      <c r="AA264" s="35"/>
      <c r="AB264" s="29"/>
      <c r="AC264" s="29"/>
      <c r="AD264" s="29"/>
      <c r="AE264" s="29"/>
      <c r="AF264" s="29"/>
      <c r="AG264" s="30"/>
      <c r="AH264" s="29"/>
      <c r="AI264" s="36" t="str">
        <f aca="true">IF(OR(C264="",AH264="Closed",AH264="Void – logged in error",AG264=""),"",IF(AG264&lt;TODAY(),"OVERDUE",IF(AG264-TODAY()&lt;='Start here'!$C$8,"Due soon","On track")))</f>
        <v/>
      </c>
      <c r="AJ264" s="29"/>
      <c r="AK264" s="29"/>
      <c r="AL264" s="30"/>
      <c r="AM264" s="37" t="str">
        <f aca="false">IF(AND(C264&lt;&gt;"",AH264&lt;&gt;"Closed",AH264&lt;&gt;"Void – logged in error",OR(AH264&lt;&gt;"",AD264&lt;&gt;"",AE264&lt;&gt;"",AF264&lt;&gt;"",AG264&lt;&gt;"")),ROW(),"")</f>
        <v/>
      </c>
    </row>
    <row r="265" customFormat="false" ht="30" hidden="false" customHeight="true" outlineLevel="0" collapsed="false">
      <c r="A265" s="28" t="str">
        <f aca="false">IF(C265="","","INC-"&amp;YEAR(C265)&amp;"-"&amp;TEXT(COUNTIFS($C$6:C265,"&gt;="&amp;DATE(YEAR(C265),1,1),$C$6:C265,"&lt;="&amp;DATE(YEAR(C265),12,31)),"000"))</f>
        <v/>
      </c>
      <c r="B265" s="29"/>
      <c r="C265" s="30"/>
      <c r="D265" s="31"/>
      <c r="E265" s="30"/>
      <c r="F265" s="29"/>
      <c r="G265" s="29"/>
      <c r="H265" s="29"/>
      <c r="I265" s="29"/>
      <c r="J265" s="29"/>
      <c r="K265" s="29"/>
      <c r="L265" s="29"/>
      <c r="M265" s="29"/>
      <c r="N265" s="29"/>
      <c r="O265" s="29"/>
      <c r="P265" s="29"/>
      <c r="Q265" s="32"/>
      <c r="R265" s="29"/>
      <c r="S265" s="29"/>
      <c r="T265" s="33" t="str">
        <f aca="false">IF(AH265="Void – logged in error","",IF(OR(C265="",S265=""),IF(C265="","","Decide"),IF(OR(S265="Not reportable",S265="Over-3-day injury (record only)"),"No","Yes")))</f>
        <v/>
      </c>
      <c r="U265" s="34" t="str">
        <f aca="false">IF(OR(C265="",S265=""),"",IF(S265="Over-7-day injury",C265+15,IF(OR(S265="Death",S265="Specified injury",S265="Member of public to hospital",S265="Dangerous occurrence"),C265+10,"")))</f>
        <v/>
      </c>
      <c r="V265" s="28" t="str">
        <f aca="true">IF(C265="","",IF(AH265="Void – logged in error","Void",IF(W265&lt;&gt;"","Done – reported",IF(S265="Occupational disease","REPORT NOW – on diagnosis",IF(ISNUMBER(U265),IF(U265&lt;TODAY(),"OVERDUE – report now",IF(U265=TODAY(),"DUE TODAY",IF(U265-TODAY()&lt;='Start here'!$C$7,"DUE in "&amp;(U265-TODAY())&amp;" days",IF(OR(S265="Death",S265="Specified injury",S265="Member of public to hospital",S265="Dangerous occurrence"),"REPORT without delay","Report by date shown")))),IF(AND(N(Q265)&gt;7,OR(S265="",S265="Not reportable",S265="Over-3-day injury (record only)")),"CHECK – over 7 days off",IF(S265="","Decide RIDDOR",IF(S265="Over-3-day injury (record only)","Record only","Not reportable"))))))))</f>
        <v/>
      </c>
      <c r="W265" s="30"/>
      <c r="X265" s="29"/>
      <c r="Y265" s="32"/>
      <c r="Z265" s="29"/>
      <c r="AA265" s="35"/>
      <c r="AB265" s="29"/>
      <c r="AC265" s="29"/>
      <c r="AD265" s="29"/>
      <c r="AE265" s="29"/>
      <c r="AF265" s="29"/>
      <c r="AG265" s="30"/>
      <c r="AH265" s="29"/>
      <c r="AI265" s="36" t="str">
        <f aca="true">IF(OR(C265="",AH265="Closed",AH265="Void – logged in error",AG265=""),"",IF(AG265&lt;TODAY(),"OVERDUE",IF(AG265-TODAY()&lt;='Start here'!$C$8,"Due soon","On track")))</f>
        <v/>
      </c>
      <c r="AJ265" s="29"/>
      <c r="AK265" s="29"/>
      <c r="AL265" s="30"/>
      <c r="AM265" s="37" t="str">
        <f aca="false">IF(AND(C265&lt;&gt;"",AH265&lt;&gt;"Closed",AH265&lt;&gt;"Void – logged in error",OR(AH265&lt;&gt;"",AD265&lt;&gt;"",AE265&lt;&gt;"",AF265&lt;&gt;"",AG265&lt;&gt;"")),ROW(),"")</f>
        <v/>
      </c>
    </row>
    <row r="266" customFormat="false" ht="30" hidden="false" customHeight="true" outlineLevel="0" collapsed="false">
      <c r="A266" s="28" t="str">
        <f aca="false">IF(C266="","","INC-"&amp;YEAR(C266)&amp;"-"&amp;TEXT(COUNTIFS($C$6:C266,"&gt;="&amp;DATE(YEAR(C266),1,1),$C$6:C266,"&lt;="&amp;DATE(YEAR(C266),12,31)),"000"))</f>
        <v/>
      </c>
      <c r="B266" s="29"/>
      <c r="C266" s="30"/>
      <c r="D266" s="31"/>
      <c r="E266" s="30"/>
      <c r="F266" s="29"/>
      <c r="G266" s="29"/>
      <c r="H266" s="29"/>
      <c r="I266" s="29"/>
      <c r="J266" s="29"/>
      <c r="K266" s="29"/>
      <c r="L266" s="29"/>
      <c r="M266" s="29"/>
      <c r="N266" s="29"/>
      <c r="O266" s="29"/>
      <c r="P266" s="29"/>
      <c r="Q266" s="32"/>
      <c r="R266" s="29"/>
      <c r="S266" s="29"/>
      <c r="T266" s="33" t="str">
        <f aca="false">IF(AH266="Void – logged in error","",IF(OR(C266="",S266=""),IF(C266="","","Decide"),IF(OR(S266="Not reportable",S266="Over-3-day injury (record only)"),"No","Yes")))</f>
        <v/>
      </c>
      <c r="U266" s="34" t="str">
        <f aca="false">IF(OR(C266="",S266=""),"",IF(S266="Over-7-day injury",C266+15,IF(OR(S266="Death",S266="Specified injury",S266="Member of public to hospital",S266="Dangerous occurrence"),C266+10,"")))</f>
        <v/>
      </c>
      <c r="V266" s="28" t="str">
        <f aca="true">IF(C266="","",IF(AH266="Void – logged in error","Void",IF(W266&lt;&gt;"","Done – reported",IF(S266="Occupational disease","REPORT NOW – on diagnosis",IF(ISNUMBER(U266),IF(U266&lt;TODAY(),"OVERDUE – report now",IF(U266=TODAY(),"DUE TODAY",IF(U266-TODAY()&lt;='Start here'!$C$7,"DUE in "&amp;(U266-TODAY())&amp;" days",IF(OR(S266="Death",S266="Specified injury",S266="Member of public to hospital",S266="Dangerous occurrence"),"REPORT without delay","Report by date shown")))),IF(AND(N(Q266)&gt;7,OR(S266="",S266="Not reportable",S266="Over-3-day injury (record only)")),"CHECK – over 7 days off",IF(S266="","Decide RIDDOR",IF(S266="Over-3-day injury (record only)","Record only","Not reportable"))))))))</f>
        <v/>
      </c>
      <c r="W266" s="30"/>
      <c r="X266" s="29"/>
      <c r="Y266" s="32"/>
      <c r="Z266" s="29"/>
      <c r="AA266" s="35"/>
      <c r="AB266" s="29"/>
      <c r="AC266" s="29"/>
      <c r="AD266" s="29"/>
      <c r="AE266" s="29"/>
      <c r="AF266" s="29"/>
      <c r="AG266" s="30"/>
      <c r="AH266" s="29"/>
      <c r="AI266" s="36" t="str">
        <f aca="true">IF(OR(C266="",AH266="Closed",AH266="Void – logged in error",AG266=""),"",IF(AG266&lt;TODAY(),"OVERDUE",IF(AG266-TODAY()&lt;='Start here'!$C$8,"Due soon","On track")))</f>
        <v/>
      </c>
      <c r="AJ266" s="29"/>
      <c r="AK266" s="29"/>
      <c r="AL266" s="30"/>
      <c r="AM266" s="37" t="str">
        <f aca="false">IF(AND(C266&lt;&gt;"",AH266&lt;&gt;"Closed",AH266&lt;&gt;"Void – logged in error",OR(AH266&lt;&gt;"",AD266&lt;&gt;"",AE266&lt;&gt;"",AF266&lt;&gt;"",AG266&lt;&gt;"")),ROW(),"")</f>
        <v/>
      </c>
    </row>
    <row r="267" customFormat="false" ht="30" hidden="false" customHeight="true" outlineLevel="0" collapsed="false">
      <c r="A267" s="28" t="str">
        <f aca="false">IF(C267="","","INC-"&amp;YEAR(C267)&amp;"-"&amp;TEXT(COUNTIFS($C$6:C267,"&gt;="&amp;DATE(YEAR(C267),1,1),$C$6:C267,"&lt;="&amp;DATE(YEAR(C267),12,31)),"000"))</f>
        <v/>
      </c>
      <c r="B267" s="29"/>
      <c r="C267" s="30"/>
      <c r="D267" s="31"/>
      <c r="E267" s="30"/>
      <c r="F267" s="29"/>
      <c r="G267" s="29"/>
      <c r="H267" s="29"/>
      <c r="I267" s="29"/>
      <c r="J267" s="29"/>
      <c r="K267" s="29"/>
      <c r="L267" s="29"/>
      <c r="M267" s="29"/>
      <c r="N267" s="29"/>
      <c r="O267" s="29"/>
      <c r="P267" s="29"/>
      <c r="Q267" s="32"/>
      <c r="R267" s="29"/>
      <c r="S267" s="29"/>
      <c r="T267" s="33" t="str">
        <f aca="false">IF(AH267="Void – logged in error","",IF(OR(C267="",S267=""),IF(C267="","","Decide"),IF(OR(S267="Not reportable",S267="Over-3-day injury (record only)"),"No","Yes")))</f>
        <v/>
      </c>
      <c r="U267" s="34" t="str">
        <f aca="false">IF(OR(C267="",S267=""),"",IF(S267="Over-7-day injury",C267+15,IF(OR(S267="Death",S267="Specified injury",S267="Member of public to hospital",S267="Dangerous occurrence"),C267+10,"")))</f>
        <v/>
      </c>
      <c r="V267" s="28" t="str">
        <f aca="true">IF(C267="","",IF(AH267="Void – logged in error","Void",IF(W267&lt;&gt;"","Done – reported",IF(S267="Occupational disease","REPORT NOW – on diagnosis",IF(ISNUMBER(U267),IF(U267&lt;TODAY(),"OVERDUE – report now",IF(U267=TODAY(),"DUE TODAY",IF(U267-TODAY()&lt;='Start here'!$C$7,"DUE in "&amp;(U267-TODAY())&amp;" days",IF(OR(S267="Death",S267="Specified injury",S267="Member of public to hospital",S267="Dangerous occurrence"),"REPORT without delay","Report by date shown")))),IF(AND(N(Q267)&gt;7,OR(S267="",S267="Not reportable",S267="Over-3-day injury (record only)")),"CHECK – over 7 days off",IF(S267="","Decide RIDDOR",IF(S267="Over-3-day injury (record only)","Record only","Not reportable"))))))))</f>
        <v/>
      </c>
      <c r="W267" s="30"/>
      <c r="X267" s="29"/>
      <c r="Y267" s="32"/>
      <c r="Z267" s="29"/>
      <c r="AA267" s="35"/>
      <c r="AB267" s="29"/>
      <c r="AC267" s="29"/>
      <c r="AD267" s="29"/>
      <c r="AE267" s="29"/>
      <c r="AF267" s="29"/>
      <c r="AG267" s="30"/>
      <c r="AH267" s="29"/>
      <c r="AI267" s="36" t="str">
        <f aca="true">IF(OR(C267="",AH267="Closed",AH267="Void – logged in error",AG267=""),"",IF(AG267&lt;TODAY(),"OVERDUE",IF(AG267-TODAY()&lt;='Start here'!$C$8,"Due soon","On track")))</f>
        <v/>
      </c>
      <c r="AJ267" s="29"/>
      <c r="AK267" s="29"/>
      <c r="AL267" s="30"/>
      <c r="AM267" s="37" t="str">
        <f aca="false">IF(AND(C267&lt;&gt;"",AH267&lt;&gt;"Closed",AH267&lt;&gt;"Void – logged in error",OR(AH267&lt;&gt;"",AD267&lt;&gt;"",AE267&lt;&gt;"",AF267&lt;&gt;"",AG267&lt;&gt;"")),ROW(),"")</f>
        <v/>
      </c>
    </row>
    <row r="268" customFormat="false" ht="30" hidden="false" customHeight="true" outlineLevel="0" collapsed="false">
      <c r="A268" s="28" t="str">
        <f aca="false">IF(C268="","","INC-"&amp;YEAR(C268)&amp;"-"&amp;TEXT(COUNTIFS($C$6:C268,"&gt;="&amp;DATE(YEAR(C268),1,1),$C$6:C268,"&lt;="&amp;DATE(YEAR(C268),12,31)),"000"))</f>
        <v/>
      </c>
      <c r="B268" s="29"/>
      <c r="C268" s="30"/>
      <c r="D268" s="31"/>
      <c r="E268" s="30"/>
      <c r="F268" s="29"/>
      <c r="G268" s="29"/>
      <c r="H268" s="29"/>
      <c r="I268" s="29"/>
      <c r="J268" s="29"/>
      <c r="K268" s="29"/>
      <c r="L268" s="29"/>
      <c r="M268" s="29"/>
      <c r="N268" s="29"/>
      <c r="O268" s="29"/>
      <c r="P268" s="29"/>
      <c r="Q268" s="32"/>
      <c r="R268" s="29"/>
      <c r="S268" s="29"/>
      <c r="T268" s="33" t="str">
        <f aca="false">IF(AH268="Void – logged in error","",IF(OR(C268="",S268=""),IF(C268="","","Decide"),IF(OR(S268="Not reportable",S268="Over-3-day injury (record only)"),"No","Yes")))</f>
        <v/>
      </c>
      <c r="U268" s="34" t="str">
        <f aca="false">IF(OR(C268="",S268=""),"",IF(S268="Over-7-day injury",C268+15,IF(OR(S268="Death",S268="Specified injury",S268="Member of public to hospital",S268="Dangerous occurrence"),C268+10,"")))</f>
        <v/>
      </c>
      <c r="V268" s="28" t="str">
        <f aca="true">IF(C268="","",IF(AH268="Void – logged in error","Void",IF(W268&lt;&gt;"","Done – reported",IF(S268="Occupational disease","REPORT NOW – on diagnosis",IF(ISNUMBER(U268),IF(U268&lt;TODAY(),"OVERDUE – report now",IF(U268=TODAY(),"DUE TODAY",IF(U268-TODAY()&lt;='Start here'!$C$7,"DUE in "&amp;(U268-TODAY())&amp;" days",IF(OR(S268="Death",S268="Specified injury",S268="Member of public to hospital",S268="Dangerous occurrence"),"REPORT without delay","Report by date shown")))),IF(AND(N(Q268)&gt;7,OR(S268="",S268="Not reportable",S268="Over-3-day injury (record only)")),"CHECK – over 7 days off",IF(S268="","Decide RIDDOR",IF(S268="Over-3-day injury (record only)","Record only","Not reportable"))))))))</f>
        <v/>
      </c>
      <c r="W268" s="30"/>
      <c r="X268" s="29"/>
      <c r="Y268" s="32"/>
      <c r="Z268" s="29"/>
      <c r="AA268" s="35"/>
      <c r="AB268" s="29"/>
      <c r="AC268" s="29"/>
      <c r="AD268" s="29"/>
      <c r="AE268" s="29"/>
      <c r="AF268" s="29"/>
      <c r="AG268" s="30"/>
      <c r="AH268" s="29"/>
      <c r="AI268" s="36" t="str">
        <f aca="true">IF(OR(C268="",AH268="Closed",AH268="Void – logged in error",AG268=""),"",IF(AG268&lt;TODAY(),"OVERDUE",IF(AG268-TODAY()&lt;='Start here'!$C$8,"Due soon","On track")))</f>
        <v/>
      </c>
      <c r="AJ268" s="29"/>
      <c r="AK268" s="29"/>
      <c r="AL268" s="30"/>
      <c r="AM268" s="37" t="str">
        <f aca="false">IF(AND(C268&lt;&gt;"",AH268&lt;&gt;"Closed",AH268&lt;&gt;"Void – logged in error",OR(AH268&lt;&gt;"",AD268&lt;&gt;"",AE268&lt;&gt;"",AF268&lt;&gt;"",AG268&lt;&gt;"")),ROW(),"")</f>
        <v/>
      </c>
    </row>
    <row r="269" customFormat="false" ht="30" hidden="false" customHeight="true" outlineLevel="0" collapsed="false">
      <c r="A269" s="28" t="str">
        <f aca="false">IF(C269="","","INC-"&amp;YEAR(C269)&amp;"-"&amp;TEXT(COUNTIFS($C$6:C269,"&gt;="&amp;DATE(YEAR(C269),1,1),$C$6:C269,"&lt;="&amp;DATE(YEAR(C269),12,31)),"000"))</f>
        <v/>
      </c>
      <c r="B269" s="29"/>
      <c r="C269" s="30"/>
      <c r="D269" s="31"/>
      <c r="E269" s="30"/>
      <c r="F269" s="29"/>
      <c r="G269" s="29"/>
      <c r="H269" s="29"/>
      <c r="I269" s="29"/>
      <c r="J269" s="29"/>
      <c r="K269" s="29"/>
      <c r="L269" s="29"/>
      <c r="M269" s="29"/>
      <c r="N269" s="29"/>
      <c r="O269" s="29"/>
      <c r="P269" s="29"/>
      <c r="Q269" s="32"/>
      <c r="R269" s="29"/>
      <c r="S269" s="29"/>
      <c r="T269" s="33" t="str">
        <f aca="false">IF(AH269="Void – logged in error","",IF(OR(C269="",S269=""),IF(C269="","","Decide"),IF(OR(S269="Not reportable",S269="Over-3-day injury (record only)"),"No","Yes")))</f>
        <v/>
      </c>
      <c r="U269" s="34" t="str">
        <f aca="false">IF(OR(C269="",S269=""),"",IF(S269="Over-7-day injury",C269+15,IF(OR(S269="Death",S269="Specified injury",S269="Member of public to hospital",S269="Dangerous occurrence"),C269+10,"")))</f>
        <v/>
      </c>
      <c r="V269" s="28" t="str">
        <f aca="true">IF(C269="","",IF(AH269="Void – logged in error","Void",IF(W269&lt;&gt;"","Done – reported",IF(S269="Occupational disease","REPORT NOW – on diagnosis",IF(ISNUMBER(U269),IF(U269&lt;TODAY(),"OVERDUE – report now",IF(U269=TODAY(),"DUE TODAY",IF(U269-TODAY()&lt;='Start here'!$C$7,"DUE in "&amp;(U269-TODAY())&amp;" days",IF(OR(S269="Death",S269="Specified injury",S269="Member of public to hospital",S269="Dangerous occurrence"),"REPORT without delay","Report by date shown")))),IF(AND(N(Q269)&gt;7,OR(S269="",S269="Not reportable",S269="Over-3-day injury (record only)")),"CHECK – over 7 days off",IF(S269="","Decide RIDDOR",IF(S269="Over-3-day injury (record only)","Record only","Not reportable"))))))))</f>
        <v/>
      </c>
      <c r="W269" s="30"/>
      <c r="X269" s="29"/>
      <c r="Y269" s="32"/>
      <c r="Z269" s="29"/>
      <c r="AA269" s="35"/>
      <c r="AB269" s="29"/>
      <c r="AC269" s="29"/>
      <c r="AD269" s="29"/>
      <c r="AE269" s="29"/>
      <c r="AF269" s="29"/>
      <c r="AG269" s="30"/>
      <c r="AH269" s="29"/>
      <c r="AI269" s="36" t="str">
        <f aca="true">IF(OR(C269="",AH269="Closed",AH269="Void – logged in error",AG269=""),"",IF(AG269&lt;TODAY(),"OVERDUE",IF(AG269-TODAY()&lt;='Start here'!$C$8,"Due soon","On track")))</f>
        <v/>
      </c>
      <c r="AJ269" s="29"/>
      <c r="AK269" s="29"/>
      <c r="AL269" s="30"/>
      <c r="AM269" s="37" t="str">
        <f aca="false">IF(AND(C269&lt;&gt;"",AH269&lt;&gt;"Closed",AH269&lt;&gt;"Void – logged in error",OR(AH269&lt;&gt;"",AD269&lt;&gt;"",AE269&lt;&gt;"",AF269&lt;&gt;"",AG269&lt;&gt;"")),ROW(),"")</f>
        <v/>
      </c>
    </row>
    <row r="270" customFormat="false" ht="30" hidden="false" customHeight="true" outlineLevel="0" collapsed="false">
      <c r="A270" s="28" t="str">
        <f aca="false">IF(C270="","","INC-"&amp;YEAR(C270)&amp;"-"&amp;TEXT(COUNTIFS($C$6:C270,"&gt;="&amp;DATE(YEAR(C270),1,1),$C$6:C270,"&lt;="&amp;DATE(YEAR(C270),12,31)),"000"))</f>
        <v/>
      </c>
      <c r="B270" s="29"/>
      <c r="C270" s="30"/>
      <c r="D270" s="31"/>
      <c r="E270" s="30"/>
      <c r="F270" s="29"/>
      <c r="G270" s="29"/>
      <c r="H270" s="29"/>
      <c r="I270" s="29"/>
      <c r="J270" s="29"/>
      <c r="K270" s="29"/>
      <c r="L270" s="29"/>
      <c r="M270" s="29"/>
      <c r="N270" s="29"/>
      <c r="O270" s="29"/>
      <c r="P270" s="29"/>
      <c r="Q270" s="32"/>
      <c r="R270" s="29"/>
      <c r="S270" s="29"/>
      <c r="T270" s="33" t="str">
        <f aca="false">IF(AH270="Void – logged in error","",IF(OR(C270="",S270=""),IF(C270="","","Decide"),IF(OR(S270="Not reportable",S270="Over-3-day injury (record only)"),"No","Yes")))</f>
        <v/>
      </c>
      <c r="U270" s="34" t="str">
        <f aca="false">IF(OR(C270="",S270=""),"",IF(S270="Over-7-day injury",C270+15,IF(OR(S270="Death",S270="Specified injury",S270="Member of public to hospital",S270="Dangerous occurrence"),C270+10,"")))</f>
        <v/>
      </c>
      <c r="V270" s="28" t="str">
        <f aca="true">IF(C270="","",IF(AH270="Void – logged in error","Void",IF(W270&lt;&gt;"","Done – reported",IF(S270="Occupational disease","REPORT NOW – on diagnosis",IF(ISNUMBER(U270),IF(U270&lt;TODAY(),"OVERDUE – report now",IF(U270=TODAY(),"DUE TODAY",IF(U270-TODAY()&lt;='Start here'!$C$7,"DUE in "&amp;(U270-TODAY())&amp;" days",IF(OR(S270="Death",S270="Specified injury",S270="Member of public to hospital",S270="Dangerous occurrence"),"REPORT without delay","Report by date shown")))),IF(AND(N(Q270)&gt;7,OR(S270="",S270="Not reportable",S270="Over-3-day injury (record only)")),"CHECK – over 7 days off",IF(S270="","Decide RIDDOR",IF(S270="Over-3-day injury (record only)","Record only","Not reportable"))))))))</f>
        <v/>
      </c>
      <c r="W270" s="30"/>
      <c r="X270" s="29"/>
      <c r="Y270" s="32"/>
      <c r="Z270" s="29"/>
      <c r="AA270" s="35"/>
      <c r="AB270" s="29"/>
      <c r="AC270" s="29"/>
      <c r="AD270" s="29"/>
      <c r="AE270" s="29"/>
      <c r="AF270" s="29"/>
      <c r="AG270" s="30"/>
      <c r="AH270" s="29"/>
      <c r="AI270" s="36" t="str">
        <f aca="true">IF(OR(C270="",AH270="Closed",AH270="Void – logged in error",AG270=""),"",IF(AG270&lt;TODAY(),"OVERDUE",IF(AG270-TODAY()&lt;='Start here'!$C$8,"Due soon","On track")))</f>
        <v/>
      </c>
      <c r="AJ270" s="29"/>
      <c r="AK270" s="29"/>
      <c r="AL270" s="30"/>
      <c r="AM270" s="37" t="str">
        <f aca="false">IF(AND(C270&lt;&gt;"",AH270&lt;&gt;"Closed",AH270&lt;&gt;"Void – logged in error",OR(AH270&lt;&gt;"",AD270&lt;&gt;"",AE270&lt;&gt;"",AF270&lt;&gt;"",AG270&lt;&gt;"")),ROW(),"")</f>
        <v/>
      </c>
    </row>
    <row r="271" customFormat="false" ht="30" hidden="false" customHeight="true" outlineLevel="0" collapsed="false">
      <c r="A271" s="28" t="str">
        <f aca="false">IF(C271="","","INC-"&amp;YEAR(C271)&amp;"-"&amp;TEXT(COUNTIFS($C$6:C271,"&gt;="&amp;DATE(YEAR(C271),1,1),$C$6:C271,"&lt;="&amp;DATE(YEAR(C271),12,31)),"000"))</f>
        <v/>
      </c>
      <c r="B271" s="29"/>
      <c r="C271" s="30"/>
      <c r="D271" s="31"/>
      <c r="E271" s="30"/>
      <c r="F271" s="29"/>
      <c r="G271" s="29"/>
      <c r="H271" s="29"/>
      <c r="I271" s="29"/>
      <c r="J271" s="29"/>
      <c r="K271" s="29"/>
      <c r="L271" s="29"/>
      <c r="M271" s="29"/>
      <c r="N271" s="29"/>
      <c r="O271" s="29"/>
      <c r="P271" s="29"/>
      <c r="Q271" s="32"/>
      <c r="R271" s="29"/>
      <c r="S271" s="29"/>
      <c r="T271" s="33" t="str">
        <f aca="false">IF(AH271="Void – logged in error","",IF(OR(C271="",S271=""),IF(C271="","","Decide"),IF(OR(S271="Not reportable",S271="Over-3-day injury (record only)"),"No","Yes")))</f>
        <v/>
      </c>
      <c r="U271" s="34" t="str">
        <f aca="false">IF(OR(C271="",S271=""),"",IF(S271="Over-7-day injury",C271+15,IF(OR(S271="Death",S271="Specified injury",S271="Member of public to hospital",S271="Dangerous occurrence"),C271+10,"")))</f>
        <v/>
      </c>
      <c r="V271" s="28" t="str">
        <f aca="true">IF(C271="","",IF(AH271="Void – logged in error","Void",IF(W271&lt;&gt;"","Done – reported",IF(S271="Occupational disease","REPORT NOW – on diagnosis",IF(ISNUMBER(U271),IF(U271&lt;TODAY(),"OVERDUE – report now",IF(U271=TODAY(),"DUE TODAY",IF(U271-TODAY()&lt;='Start here'!$C$7,"DUE in "&amp;(U271-TODAY())&amp;" days",IF(OR(S271="Death",S271="Specified injury",S271="Member of public to hospital",S271="Dangerous occurrence"),"REPORT without delay","Report by date shown")))),IF(AND(N(Q271)&gt;7,OR(S271="",S271="Not reportable",S271="Over-3-day injury (record only)")),"CHECK – over 7 days off",IF(S271="","Decide RIDDOR",IF(S271="Over-3-day injury (record only)","Record only","Not reportable"))))))))</f>
        <v/>
      </c>
      <c r="W271" s="30"/>
      <c r="X271" s="29"/>
      <c r="Y271" s="32"/>
      <c r="Z271" s="29"/>
      <c r="AA271" s="35"/>
      <c r="AB271" s="29"/>
      <c r="AC271" s="29"/>
      <c r="AD271" s="29"/>
      <c r="AE271" s="29"/>
      <c r="AF271" s="29"/>
      <c r="AG271" s="30"/>
      <c r="AH271" s="29"/>
      <c r="AI271" s="36" t="str">
        <f aca="true">IF(OR(C271="",AH271="Closed",AH271="Void – logged in error",AG271=""),"",IF(AG271&lt;TODAY(),"OVERDUE",IF(AG271-TODAY()&lt;='Start here'!$C$8,"Due soon","On track")))</f>
        <v/>
      </c>
      <c r="AJ271" s="29"/>
      <c r="AK271" s="29"/>
      <c r="AL271" s="30"/>
      <c r="AM271" s="37" t="str">
        <f aca="false">IF(AND(C271&lt;&gt;"",AH271&lt;&gt;"Closed",AH271&lt;&gt;"Void – logged in error",OR(AH271&lt;&gt;"",AD271&lt;&gt;"",AE271&lt;&gt;"",AF271&lt;&gt;"",AG271&lt;&gt;"")),ROW(),"")</f>
        <v/>
      </c>
    </row>
    <row r="272" customFormat="false" ht="30" hidden="false" customHeight="true" outlineLevel="0" collapsed="false">
      <c r="A272" s="28" t="str">
        <f aca="false">IF(C272="","","INC-"&amp;YEAR(C272)&amp;"-"&amp;TEXT(COUNTIFS($C$6:C272,"&gt;="&amp;DATE(YEAR(C272),1,1),$C$6:C272,"&lt;="&amp;DATE(YEAR(C272),12,31)),"000"))</f>
        <v/>
      </c>
      <c r="B272" s="29"/>
      <c r="C272" s="30"/>
      <c r="D272" s="31"/>
      <c r="E272" s="30"/>
      <c r="F272" s="29"/>
      <c r="G272" s="29"/>
      <c r="H272" s="29"/>
      <c r="I272" s="29"/>
      <c r="J272" s="29"/>
      <c r="K272" s="29"/>
      <c r="L272" s="29"/>
      <c r="M272" s="29"/>
      <c r="N272" s="29"/>
      <c r="O272" s="29"/>
      <c r="P272" s="29"/>
      <c r="Q272" s="32"/>
      <c r="R272" s="29"/>
      <c r="S272" s="29"/>
      <c r="T272" s="33" t="str">
        <f aca="false">IF(AH272="Void – logged in error","",IF(OR(C272="",S272=""),IF(C272="","","Decide"),IF(OR(S272="Not reportable",S272="Over-3-day injury (record only)"),"No","Yes")))</f>
        <v/>
      </c>
      <c r="U272" s="34" t="str">
        <f aca="false">IF(OR(C272="",S272=""),"",IF(S272="Over-7-day injury",C272+15,IF(OR(S272="Death",S272="Specified injury",S272="Member of public to hospital",S272="Dangerous occurrence"),C272+10,"")))</f>
        <v/>
      </c>
      <c r="V272" s="28" t="str">
        <f aca="true">IF(C272="","",IF(AH272="Void – logged in error","Void",IF(W272&lt;&gt;"","Done – reported",IF(S272="Occupational disease","REPORT NOW – on diagnosis",IF(ISNUMBER(U272),IF(U272&lt;TODAY(),"OVERDUE – report now",IF(U272=TODAY(),"DUE TODAY",IF(U272-TODAY()&lt;='Start here'!$C$7,"DUE in "&amp;(U272-TODAY())&amp;" days",IF(OR(S272="Death",S272="Specified injury",S272="Member of public to hospital",S272="Dangerous occurrence"),"REPORT without delay","Report by date shown")))),IF(AND(N(Q272)&gt;7,OR(S272="",S272="Not reportable",S272="Over-3-day injury (record only)")),"CHECK – over 7 days off",IF(S272="","Decide RIDDOR",IF(S272="Over-3-day injury (record only)","Record only","Not reportable"))))))))</f>
        <v/>
      </c>
      <c r="W272" s="30"/>
      <c r="X272" s="29"/>
      <c r="Y272" s="32"/>
      <c r="Z272" s="29"/>
      <c r="AA272" s="35"/>
      <c r="AB272" s="29"/>
      <c r="AC272" s="29"/>
      <c r="AD272" s="29"/>
      <c r="AE272" s="29"/>
      <c r="AF272" s="29"/>
      <c r="AG272" s="30"/>
      <c r="AH272" s="29"/>
      <c r="AI272" s="36" t="str">
        <f aca="true">IF(OR(C272="",AH272="Closed",AH272="Void – logged in error",AG272=""),"",IF(AG272&lt;TODAY(),"OVERDUE",IF(AG272-TODAY()&lt;='Start here'!$C$8,"Due soon","On track")))</f>
        <v/>
      </c>
      <c r="AJ272" s="29"/>
      <c r="AK272" s="29"/>
      <c r="AL272" s="30"/>
      <c r="AM272" s="37" t="str">
        <f aca="false">IF(AND(C272&lt;&gt;"",AH272&lt;&gt;"Closed",AH272&lt;&gt;"Void – logged in error",OR(AH272&lt;&gt;"",AD272&lt;&gt;"",AE272&lt;&gt;"",AF272&lt;&gt;"",AG272&lt;&gt;"")),ROW(),"")</f>
        <v/>
      </c>
    </row>
    <row r="273" customFormat="false" ht="30" hidden="false" customHeight="true" outlineLevel="0" collapsed="false">
      <c r="A273" s="28" t="str">
        <f aca="false">IF(C273="","","INC-"&amp;YEAR(C273)&amp;"-"&amp;TEXT(COUNTIFS($C$6:C273,"&gt;="&amp;DATE(YEAR(C273),1,1),$C$6:C273,"&lt;="&amp;DATE(YEAR(C273),12,31)),"000"))</f>
        <v/>
      </c>
      <c r="B273" s="29"/>
      <c r="C273" s="30"/>
      <c r="D273" s="31"/>
      <c r="E273" s="30"/>
      <c r="F273" s="29"/>
      <c r="G273" s="29"/>
      <c r="H273" s="29"/>
      <c r="I273" s="29"/>
      <c r="J273" s="29"/>
      <c r="K273" s="29"/>
      <c r="L273" s="29"/>
      <c r="M273" s="29"/>
      <c r="N273" s="29"/>
      <c r="O273" s="29"/>
      <c r="P273" s="29"/>
      <c r="Q273" s="32"/>
      <c r="R273" s="29"/>
      <c r="S273" s="29"/>
      <c r="T273" s="33" t="str">
        <f aca="false">IF(AH273="Void – logged in error","",IF(OR(C273="",S273=""),IF(C273="","","Decide"),IF(OR(S273="Not reportable",S273="Over-3-day injury (record only)"),"No","Yes")))</f>
        <v/>
      </c>
      <c r="U273" s="34" t="str">
        <f aca="false">IF(OR(C273="",S273=""),"",IF(S273="Over-7-day injury",C273+15,IF(OR(S273="Death",S273="Specified injury",S273="Member of public to hospital",S273="Dangerous occurrence"),C273+10,"")))</f>
        <v/>
      </c>
      <c r="V273" s="28" t="str">
        <f aca="true">IF(C273="","",IF(AH273="Void – logged in error","Void",IF(W273&lt;&gt;"","Done – reported",IF(S273="Occupational disease","REPORT NOW – on diagnosis",IF(ISNUMBER(U273),IF(U273&lt;TODAY(),"OVERDUE – report now",IF(U273=TODAY(),"DUE TODAY",IF(U273-TODAY()&lt;='Start here'!$C$7,"DUE in "&amp;(U273-TODAY())&amp;" days",IF(OR(S273="Death",S273="Specified injury",S273="Member of public to hospital",S273="Dangerous occurrence"),"REPORT without delay","Report by date shown")))),IF(AND(N(Q273)&gt;7,OR(S273="",S273="Not reportable",S273="Over-3-day injury (record only)")),"CHECK – over 7 days off",IF(S273="","Decide RIDDOR",IF(S273="Over-3-day injury (record only)","Record only","Not reportable"))))))))</f>
        <v/>
      </c>
      <c r="W273" s="30"/>
      <c r="X273" s="29"/>
      <c r="Y273" s="32"/>
      <c r="Z273" s="29"/>
      <c r="AA273" s="35"/>
      <c r="AB273" s="29"/>
      <c r="AC273" s="29"/>
      <c r="AD273" s="29"/>
      <c r="AE273" s="29"/>
      <c r="AF273" s="29"/>
      <c r="AG273" s="30"/>
      <c r="AH273" s="29"/>
      <c r="AI273" s="36" t="str">
        <f aca="true">IF(OR(C273="",AH273="Closed",AH273="Void – logged in error",AG273=""),"",IF(AG273&lt;TODAY(),"OVERDUE",IF(AG273-TODAY()&lt;='Start here'!$C$8,"Due soon","On track")))</f>
        <v/>
      </c>
      <c r="AJ273" s="29"/>
      <c r="AK273" s="29"/>
      <c r="AL273" s="30"/>
      <c r="AM273" s="37" t="str">
        <f aca="false">IF(AND(C273&lt;&gt;"",AH273&lt;&gt;"Closed",AH273&lt;&gt;"Void – logged in error",OR(AH273&lt;&gt;"",AD273&lt;&gt;"",AE273&lt;&gt;"",AF273&lt;&gt;"",AG273&lt;&gt;"")),ROW(),"")</f>
        <v/>
      </c>
    </row>
    <row r="274" customFormat="false" ht="30" hidden="false" customHeight="true" outlineLevel="0" collapsed="false">
      <c r="A274" s="28" t="str">
        <f aca="false">IF(C274="","","INC-"&amp;YEAR(C274)&amp;"-"&amp;TEXT(COUNTIFS($C$6:C274,"&gt;="&amp;DATE(YEAR(C274),1,1),$C$6:C274,"&lt;="&amp;DATE(YEAR(C274),12,31)),"000"))</f>
        <v/>
      </c>
      <c r="B274" s="29"/>
      <c r="C274" s="30"/>
      <c r="D274" s="31"/>
      <c r="E274" s="30"/>
      <c r="F274" s="29"/>
      <c r="G274" s="29"/>
      <c r="H274" s="29"/>
      <c r="I274" s="29"/>
      <c r="J274" s="29"/>
      <c r="K274" s="29"/>
      <c r="L274" s="29"/>
      <c r="M274" s="29"/>
      <c r="N274" s="29"/>
      <c r="O274" s="29"/>
      <c r="P274" s="29"/>
      <c r="Q274" s="32"/>
      <c r="R274" s="29"/>
      <c r="S274" s="29"/>
      <c r="T274" s="33" t="str">
        <f aca="false">IF(AH274="Void – logged in error","",IF(OR(C274="",S274=""),IF(C274="","","Decide"),IF(OR(S274="Not reportable",S274="Over-3-day injury (record only)"),"No","Yes")))</f>
        <v/>
      </c>
      <c r="U274" s="34" t="str">
        <f aca="false">IF(OR(C274="",S274=""),"",IF(S274="Over-7-day injury",C274+15,IF(OR(S274="Death",S274="Specified injury",S274="Member of public to hospital",S274="Dangerous occurrence"),C274+10,"")))</f>
        <v/>
      </c>
      <c r="V274" s="28" t="str">
        <f aca="true">IF(C274="","",IF(AH274="Void – logged in error","Void",IF(W274&lt;&gt;"","Done – reported",IF(S274="Occupational disease","REPORT NOW – on diagnosis",IF(ISNUMBER(U274),IF(U274&lt;TODAY(),"OVERDUE – report now",IF(U274=TODAY(),"DUE TODAY",IF(U274-TODAY()&lt;='Start here'!$C$7,"DUE in "&amp;(U274-TODAY())&amp;" days",IF(OR(S274="Death",S274="Specified injury",S274="Member of public to hospital",S274="Dangerous occurrence"),"REPORT without delay","Report by date shown")))),IF(AND(N(Q274)&gt;7,OR(S274="",S274="Not reportable",S274="Over-3-day injury (record only)")),"CHECK – over 7 days off",IF(S274="","Decide RIDDOR",IF(S274="Over-3-day injury (record only)","Record only","Not reportable"))))))))</f>
        <v/>
      </c>
      <c r="W274" s="30"/>
      <c r="X274" s="29"/>
      <c r="Y274" s="32"/>
      <c r="Z274" s="29"/>
      <c r="AA274" s="35"/>
      <c r="AB274" s="29"/>
      <c r="AC274" s="29"/>
      <c r="AD274" s="29"/>
      <c r="AE274" s="29"/>
      <c r="AF274" s="29"/>
      <c r="AG274" s="30"/>
      <c r="AH274" s="29"/>
      <c r="AI274" s="36" t="str">
        <f aca="true">IF(OR(C274="",AH274="Closed",AH274="Void – logged in error",AG274=""),"",IF(AG274&lt;TODAY(),"OVERDUE",IF(AG274-TODAY()&lt;='Start here'!$C$8,"Due soon","On track")))</f>
        <v/>
      </c>
      <c r="AJ274" s="29"/>
      <c r="AK274" s="29"/>
      <c r="AL274" s="30"/>
      <c r="AM274" s="37" t="str">
        <f aca="false">IF(AND(C274&lt;&gt;"",AH274&lt;&gt;"Closed",AH274&lt;&gt;"Void – logged in error",OR(AH274&lt;&gt;"",AD274&lt;&gt;"",AE274&lt;&gt;"",AF274&lt;&gt;"",AG274&lt;&gt;"")),ROW(),"")</f>
        <v/>
      </c>
    </row>
    <row r="275" customFormat="false" ht="30" hidden="false" customHeight="true" outlineLevel="0" collapsed="false">
      <c r="A275" s="28" t="str">
        <f aca="false">IF(C275="","","INC-"&amp;YEAR(C275)&amp;"-"&amp;TEXT(COUNTIFS($C$6:C275,"&gt;="&amp;DATE(YEAR(C275),1,1),$C$6:C275,"&lt;="&amp;DATE(YEAR(C275),12,31)),"000"))</f>
        <v/>
      </c>
      <c r="B275" s="29"/>
      <c r="C275" s="30"/>
      <c r="D275" s="31"/>
      <c r="E275" s="30"/>
      <c r="F275" s="29"/>
      <c r="G275" s="29"/>
      <c r="H275" s="29"/>
      <c r="I275" s="29"/>
      <c r="J275" s="29"/>
      <c r="K275" s="29"/>
      <c r="L275" s="29"/>
      <c r="M275" s="29"/>
      <c r="N275" s="29"/>
      <c r="O275" s="29"/>
      <c r="P275" s="29"/>
      <c r="Q275" s="32"/>
      <c r="R275" s="29"/>
      <c r="S275" s="29"/>
      <c r="T275" s="33" t="str">
        <f aca="false">IF(AH275="Void – logged in error","",IF(OR(C275="",S275=""),IF(C275="","","Decide"),IF(OR(S275="Not reportable",S275="Over-3-day injury (record only)"),"No","Yes")))</f>
        <v/>
      </c>
      <c r="U275" s="34" t="str">
        <f aca="false">IF(OR(C275="",S275=""),"",IF(S275="Over-7-day injury",C275+15,IF(OR(S275="Death",S275="Specified injury",S275="Member of public to hospital",S275="Dangerous occurrence"),C275+10,"")))</f>
        <v/>
      </c>
      <c r="V275" s="28" t="str">
        <f aca="true">IF(C275="","",IF(AH275="Void – logged in error","Void",IF(W275&lt;&gt;"","Done – reported",IF(S275="Occupational disease","REPORT NOW – on diagnosis",IF(ISNUMBER(U275),IF(U275&lt;TODAY(),"OVERDUE – report now",IF(U275=TODAY(),"DUE TODAY",IF(U275-TODAY()&lt;='Start here'!$C$7,"DUE in "&amp;(U275-TODAY())&amp;" days",IF(OR(S275="Death",S275="Specified injury",S275="Member of public to hospital",S275="Dangerous occurrence"),"REPORT without delay","Report by date shown")))),IF(AND(N(Q275)&gt;7,OR(S275="",S275="Not reportable",S275="Over-3-day injury (record only)")),"CHECK – over 7 days off",IF(S275="","Decide RIDDOR",IF(S275="Over-3-day injury (record only)","Record only","Not reportable"))))))))</f>
        <v/>
      </c>
      <c r="W275" s="30"/>
      <c r="X275" s="29"/>
      <c r="Y275" s="32"/>
      <c r="Z275" s="29"/>
      <c r="AA275" s="35"/>
      <c r="AB275" s="29"/>
      <c r="AC275" s="29"/>
      <c r="AD275" s="29"/>
      <c r="AE275" s="29"/>
      <c r="AF275" s="29"/>
      <c r="AG275" s="30"/>
      <c r="AH275" s="29"/>
      <c r="AI275" s="36" t="str">
        <f aca="true">IF(OR(C275="",AH275="Closed",AH275="Void – logged in error",AG275=""),"",IF(AG275&lt;TODAY(),"OVERDUE",IF(AG275-TODAY()&lt;='Start here'!$C$8,"Due soon","On track")))</f>
        <v/>
      </c>
      <c r="AJ275" s="29"/>
      <c r="AK275" s="29"/>
      <c r="AL275" s="30"/>
      <c r="AM275" s="37" t="str">
        <f aca="false">IF(AND(C275&lt;&gt;"",AH275&lt;&gt;"Closed",AH275&lt;&gt;"Void – logged in error",OR(AH275&lt;&gt;"",AD275&lt;&gt;"",AE275&lt;&gt;"",AF275&lt;&gt;"",AG275&lt;&gt;"")),ROW(),"")</f>
        <v/>
      </c>
    </row>
    <row r="276" customFormat="false" ht="30" hidden="false" customHeight="true" outlineLevel="0" collapsed="false">
      <c r="A276" s="28" t="str">
        <f aca="false">IF(C276="","","INC-"&amp;YEAR(C276)&amp;"-"&amp;TEXT(COUNTIFS($C$6:C276,"&gt;="&amp;DATE(YEAR(C276),1,1),$C$6:C276,"&lt;="&amp;DATE(YEAR(C276),12,31)),"000"))</f>
        <v/>
      </c>
      <c r="B276" s="29"/>
      <c r="C276" s="30"/>
      <c r="D276" s="31"/>
      <c r="E276" s="30"/>
      <c r="F276" s="29"/>
      <c r="G276" s="29"/>
      <c r="H276" s="29"/>
      <c r="I276" s="29"/>
      <c r="J276" s="29"/>
      <c r="K276" s="29"/>
      <c r="L276" s="29"/>
      <c r="M276" s="29"/>
      <c r="N276" s="29"/>
      <c r="O276" s="29"/>
      <c r="P276" s="29"/>
      <c r="Q276" s="32"/>
      <c r="R276" s="29"/>
      <c r="S276" s="29"/>
      <c r="T276" s="33" t="str">
        <f aca="false">IF(AH276="Void – logged in error","",IF(OR(C276="",S276=""),IF(C276="","","Decide"),IF(OR(S276="Not reportable",S276="Over-3-day injury (record only)"),"No","Yes")))</f>
        <v/>
      </c>
      <c r="U276" s="34" t="str">
        <f aca="false">IF(OR(C276="",S276=""),"",IF(S276="Over-7-day injury",C276+15,IF(OR(S276="Death",S276="Specified injury",S276="Member of public to hospital",S276="Dangerous occurrence"),C276+10,"")))</f>
        <v/>
      </c>
      <c r="V276" s="28" t="str">
        <f aca="true">IF(C276="","",IF(AH276="Void – logged in error","Void",IF(W276&lt;&gt;"","Done – reported",IF(S276="Occupational disease","REPORT NOW – on diagnosis",IF(ISNUMBER(U276),IF(U276&lt;TODAY(),"OVERDUE – report now",IF(U276=TODAY(),"DUE TODAY",IF(U276-TODAY()&lt;='Start here'!$C$7,"DUE in "&amp;(U276-TODAY())&amp;" days",IF(OR(S276="Death",S276="Specified injury",S276="Member of public to hospital",S276="Dangerous occurrence"),"REPORT without delay","Report by date shown")))),IF(AND(N(Q276)&gt;7,OR(S276="",S276="Not reportable",S276="Over-3-day injury (record only)")),"CHECK – over 7 days off",IF(S276="","Decide RIDDOR",IF(S276="Over-3-day injury (record only)","Record only","Not reportable"))))))))</f>
        <v/>
      </c>
      <c r="W276" s="30"/>
      <c r="X276" s="29"/>
      <c r="Y276" s="32"/>
      <c r="Z276" s="29"/>
      <c r="AA276" s="35"/>
      <c r="AB276" s="29"/>
      <c r="AC276" s="29"/>
      <c r="AD276" s="29"/>
      <c r="AE276" s="29"/>
      <c r="AF276" s="29"/>
      <c r="AG276" s="30"/>
      <c r="AH276" s="29"/>
      <c r="AI276" s="36" t="str">
        <f aca="true">IF(OR(C276="",AH276="Closed",AH276="Void – logged in error",AG276=""),"",IF(AG276&lt;TODAY(),"OVERDUE",IF(AG276-TODAY()&lt;='Start here'!$C$8,"Due soon","On track")))</f>
        <v/>
      </c>
      <c r="AJ276" s="29"/>
      <c r="AK276" s="29"/>
      <c r="AL276" s="30"/>
      <c r="AM276" s="37" t="str">
        <f aca="false">IF(AND(C276&lt;&gt;"",AH276&lt;&gt;"Closed",AH276&lt;&gt;"Void – logged in error",OR(AH276&lt;&gt;"",AD276&lt;&gt;"",AE276&lt;&gt;"",AF276&lt;&gt;"",AG276&lt;&gt;"")),ROW(),"")</f>
        <v/>
      </c>
    </row>
    <row r="277" customFormat="false" ht="30" hidden="false" customHeight="true" outlineLevel="0" collapsed="false">
      <c r="A277" s="28" t="str">
        <f aca="false">IF(C277="","","INC-"&amp;YEAR(C277)&amp;"-"&amp;TEXT(COUNTIFS($C$6:C277,"&gt;="&amp;DATE(YEAR(C277),1,1),$C$6:C277,"&lt;="&amp;DATE(YEAR(C277),12,31)),"000"))</f>
        <v/>
      </c>
      <c r="B277" s="29"/>
      <c r="C277" s="30"/>
      <c r="D277" s="31"/>
      <c r="E277" s="30"/>
      <c r="F277" s="29"/>
      <c r="G277" s="29"/>
      <c r="H277" s="29"/>
      <c r="I277" s="29"/>
      <c r="J277" s="29"/>
      <c r="K277" s="29"/>
      <c r="L277" s="29"/>
      <c r="M277" s="29"/>
      <c r="N277" s="29"/>
      <c r="O277" s="29"/>
      <c r="P277" s="29"/>
      <c r="Q277" s="32"/>
      <c r="R277" s="29"/>
      <c r="S277" s="29"/>
      <c r="T277" s="33" t="str">
        <f aca="false">IF(AH277="Void – logged in error","",IF(OR(C277="",S277=""),IF(C277="","","Decide"),IF(OR(S277="Not reportable",S277="Over-3-day injury (record only)"),"No","Yes")))</f>
        <v/>
      </c>
      <c r="U277" s="34" t="str">
        <f aca="false">IF(OR(C277="",S277=""),"",IF(S277="Over-7-day injury",C277+15,IF(OR(S277="Death",S277="Specified injury",S277="Member of public to hospital",S277="Dangerous occurrence"),C277+10,"")))</f>
        <v/>
      </c>
      <c r="V277" s="28" t="str">
        <f aca="true">IF(C277="","",IF(AH277="Void – logged in error","Void",IF(W277&lt;&gt;"","Done – reported",IF(S277="Occupational disease","REPORT NOW – on diagnosis",IF(ISNUMBER(U277),IF(U277&lt;TODAY(),"OVERDUE – report now",IF(U277=TODAY(),"DUE TODAY",IF(U277-TODAY()&lt;='Start here'!$C$7,"DUE in "&amp;(U277-TODAY())&amp;" days",IF(OR(S277="Death",S277="Specified injury",S277="Member of public to hospital",S277="Dangerous occurrence"),"REPORT without delay","Report by date shown")))),IF(AND(N(Q277)&gt;7,OR(S277="",S277="Not reportable",S277="Over-3-day injury (record only)")),"CHECK – over 7 days off",IF(S277="","Decide RIDDOR",IF(S277="Over-3-day injury (record only)","Record only","Not reportable"))))))))</f>
        <v/>
      </c>
      <c r="W277" s="30"/>
      <c r="X277" s="29"/>
      <c r="Y277" s="32"/>
      <c r="Z277" s="29"/>
      <c r="AA277" s="35"/>
      <c r="AB277" s="29"/>
      <c r="AC277" s="29"/>
      <c r="AD277" s="29"/>
      <c r="AE277" s="29"/>
      <c r="AF277" s="29"/>
      <c r="AG277" s="30"/>
      <c r="AH277" s="29"/>
      <c r="AI277" s="36" t="str">
        <f aca="true">IF(OR(C277="",AH277="Closed",AH277="Void – logged in error",AG277=""),"",IF(AG277&lt;TODAY(),"OVERDUE",IF(AG277-TODAY()&lt;='Start here'!$C$8,"Due soon","On track")))</f>
        <v/>
      </c>
      <c r="AJ277" s="29"/>
      <c r="AK277" s="29"/>
      <c r="AL277" s="30"/>
      <c r="AM277" s="37" t="str">
        <f aca="false">IF(AND(C277&lt;&gt;"",AH277&lt;&gt;"Closed",AH277&lt;&gt;"Void – logged in error",OR(AH277&lt;&gt;"",AD277&lt;&gt;"",AE277&lt;&gt;"",AF277&lt;&gt;"",AG277&lt;&gt;"")),ROW(),"")</f>
        <v/>
      </c>
    </row>
    <row r="278" customFormat="false" ht="30" hidden="false" customHeight="true" outlineLevel="0" collapsed="false">
      <c r="A278" s="28" t="str">
        <f aca="false">IF(C278="","","INC-"&amp;YEAR(C278)&amp;"-"&amp;TEXT(COUNTIFS($C$6:C278,"&gt;="&amp;DATE(YEAR(C278),1,1),$C$6:C278,"&lt;="&amp;DATE(YEAR(C278),12,31)),"000"))</f>
        <v/>
      </c>
      <c r="B278" s="29"/>
      <c r="C278" s="30"/>
      <c r="D278" s="31"/>
      <c r="E278" s="30"/>
      <c r="F278" s="29"/>
      <c r="G278" s="29"/>
      <c r="H278" s="29"/>
      <c r="I278" s="29"/>
      <c r="J278" s="29"/>
      <c r="K278" s="29"/>
      <c r="L278" s="29"/>
      <c r="M278" s="29"/>
      <c r="N278" s="29"/>
      <c r="O278" s="29"/>
      <c r="P278" s="29"/>
      <c r="Q278" s="32"/>
      <c r="R278" s="29"/>
      <c r="S278" s="29"/>
      <c r="T278" s="33" t="str">
        <f aca="false">IF(AH278="Void – logged in error","",IF(OR(C278="",S278=""),IF(C278="","","Decide"),IF(OR(S278="Not reportable",S278="Over-3-day injury (record only)"),"No","Yes")))</f>
        <v/>
      </c>
      <c r="U278" s="34" t="str">
        <f aca="false">IF(OR(C278="",S278=""),"",IF(S278="Over-7-day injury",C278+15,IF(OR(S278="Death",S278="Specified injury",S278="Member of public to hospital",S278="Dangerous occurrence"),C278+10,"")))</f>
        <v/>
      </c>
      <c r="V278" s="28" t="str">
        <f aca="true">IF(C278="","",IF(AH278="Void – logged in error","Void",IF(W278&lt;&gt;"","Done – reported",IF(S278="Occupational disease","REPORT NOW – on diagnosis",IF(ISNUMBER(U278),IF(U278&lt;TODAY(),"OVERDUE – report now",IF(U278=TODAY(),"DUE TODAY",IF(U278-TODAY()&lt;='Start here'!$C$7,"DUE in "&amp;(U278-TODAY())&amp;" days",IF(OR(S278="Death",S278="Specified injury",S278="Member of public to hospital",S278="Dangerous occurrence"),"REPORT without delay","Report by date shown")))),IF(AND(N(Q278)&gt;7,OR(S278="",S278="Not reportable",S278="Over-3-day injury (record only)")),"CHECK – over 7 days off",IF(S278="","Decide RIDDOR",IF(S278="Over-3-day injury (record only)","Record only","Not reportable"))))))))</f>
        <v/>
      </c>
      <c r="W278" s="30"/>
      <c r="X278" s="29"/>
      <c r="Y278" s="32"/>
      <c r="Z278" s="29"/>
      <c r="AA278" s="35"/>
      <c r="AB278" s="29"/>
      <c r="AC278" s="29"/>
      <c r="AD278" s="29"/>
      <c r="AE278" s="29"/>
      <c r="AF278" s="29"/>
      <c r="AG278" s="30"/>
      <c r="AH278" s="29"/>
      <c r="AI278" s="36" t="str">
        <f aca="true">IF(OR(C278="",AH278="Closed",AH278="Void – logged in error",AG278=""),"",IF(AG278&lt;TODAY(),"OVERDUE",IF(AG278-TODAY()&lt;='Start here'!$C$8,"Due soon","On track")))</f>
        <v/>
      </c>
      <c r="AJ278" s="29"/>
      <c r="AK278" s="29"/>
      <c r="AL278" s="30"/>
      <c r="AM278" s="37" t="str">
        <f aca="false">IF(AND(C278&lt;&gt;"",AH278&lt;&gt;"Closed",AH278&lt;&gt;"Void – logged in error",OR(AH278&lt;&gt;"",AD278&lt;&gt;"",AE278&lt;&gt;"",AF278&lt;&gt;"",AG278&lt;&gt;"")),ROW(),"")</f>
        <v/>
      </c>
    </row>
    <row r="279" customFormat="false" ht="30" hidden="false" customHeight="true" outlineLevel="0" collapsed="false">
      <c r="A279" s="28" t="str">
        <f aca="false">IF(C279="","","INC-"&amp;YEAR(C279)&amp;"-"&amp;TEXT(COUNTIFS($C$6:C279,"&gt;="&amp;DATE(YEAR(C279),1,1),$C$6:C279,"&lt;="&amp;DATE(YEAR(C279),12,31)),"000"))</f>
        <v/>
      </c>
      <c r="B279" s="29"/>
      <c r="C279" s="30"/>
      <c r="D279" s="31"/>
      <c r="E279" s="30"/>
      <c r="F279" s="29"/>
      <c r="G279" s="29"/>
      <c r="H279" s="29"/>
      <c r="I279" s="29"/>
      <c r="J279" s="29"/>
      <c r="K279" s="29"/>
      <c r="L279" s="29"/>
      <c r="M279" s="29"/>
      <c r="N279" s="29"/>
      <c r="O279" s="29"/>
      <c r="P279" s="29"/>
      <c r="Q279" s="32"/>
      <c r="R279" s="29"/>
      <c r="S279" s="29"/>
      <c r="T279" s="33" t="str">
        <f aca="false">IF(AH279="Void – logged in error","",IF(OR(C279="",S279=""),IF(C279="","","Decide"),IF(OR(S279="Not reportable",S279="Over-3-day injury (record only)"),"No","Yes")))</f>
        <v/>
      </c>
      <c r="U279" s="34" t="str">
        <f aca="false">IF(OR(C279="",S279=""),"",IF(S279="Over-7-day injury",C279+15,IF(OR(S279="Death",S279="Specified injury",S279="Member of public to hospital",S279="Dangerous occurrence"),C279+10,"")))</f>
        <v/>
      </c>
      <c r="V279" s="28" t="str">
        <f aca="true">IF(C279="","",IF(AH279="Void – logged in error","Void",IF(W279&lt;&gt;"","Done – reported",IF(S279="Occupational disease","REPORT NOW – on diagnosis",IF(ISNUMBER(U279),IF(U279&lt;TODAY(),"OVERDUE – report now",IF(U279=TODAY(),"DUE TODAY",IF(U279-TODAY()&lt;='Start here'!$C$7,"DUE in "&amp;(U279-TODAY())&amp;" days",IF(OR(S279="Death",S279="Specified injury",S279="Member of public to hospital",S279="Dangerous occurrence"),"REPORT without delay","Report by date shown")))),IF(AND(N(Q279)&gt;7,OR(S279="",S279="Not reportable",S279="Over-3-day injury (record only)")),"CHECK – over 7 days off",IF(S279="","Decide RIDDOR",IF(S279="Over-3-day injury (record only)","Record only","Not reportable"))))))))</f>
        <v/>
      </c>
      <c r="W279" s="30"/>
      <c r="X279" s="29"/>
      <c r="Y279" s="32"/>
      <c r="Z279" s="29"/>
      <c r="AA279" s="35"/>
      <c r="AB279" s="29"/>
      <c r="AC279" s="29"/>
      <c r="AD279" s="29"/>
      <c r="AE279" s="29"/>
      <c r="AF279" s="29"/>
      <c r="AG279" s="30"/>
      <c r="AH279" s="29"/>
      <c r="AI279" s="36" t="str">
        <f aca="true">IF(OR(C279="",AH279="Closed",AH279="Void – logged in error",AG279=""),"",IF(AG279&lt;TODAY(),"OVERDUE",IF(AG279-TODAY()&lt;='Start here'!$C$8,"Due soon","On track")))</f>
        <v/>
      </c>
      <c r="AJ279" s="29"/>
      <c r="AK279" s="29"/>
      <c r="AL279" s="30"/>
      <c r="AM279" s="37" t="str">
        <f aca="false">IF(AND(C279&lt;&gt;"",AH279&lt;&gt;"Closed",AH279&lt;&gt;"Void – logged in error",OR(AH279&lt;&gt;"",AD279&lt;&gt;"",AE279&lt;&gt;"",AF279&lt;&gt;"",AG279&lt;&gt;"")),ROW(),"")</f>
        <v/>
      </c>
    </row>
    <row r="280" customFormat="false" ht="30" hidden="false" customHeight="true" outlineLevel="0" collapsed="false">
      <c r="A280" s="28" t="str">
        <f aca="false">IF(C280="","","INC-"&amp;YEAR(C280)&amp;"-"&amp;TEXT(COUNTIFS($C$6:C280,"&gt;="&amp;DATE(YEAR(C280),1,1),$C$6:C280,"&lt;="&amp;DATE(YEAR(C280),12,31)),"000"))</f>
        <v/>
      </c>
      <c r="B280" s="29"/>
      <c r="C280" s="30"/>
      <c r="D280" s="31"/>
      <c r="E280" s="30"/>
      <c r="F280" s="29"/>
      <c r="G280" s="29"/>
      <c r="H280" s="29"/>
      <c r="I280" s="29"/>
      <c r="J280" s="29"/>
      <c r="K280" s="29"/>
      <c r="L280" s="29"/>
      <c r="M280" s="29"/>
      <c r="N280" s="29"/>
      <c r="O280" s="29"/>
      <c r="P280" s="29"/>
      <c r="Q280" s="32"/>
      <c r="R280" s="29"/>
      <c r="S280" s="29"/>
      <c r="T280" s="33" t="str">
        <f aca="false">IF(AH280="Void – logged in error","",IF(OR(C280="",S280=""),IF(C280="","","Decide"),IF(OR(S280="Not reportable",S280="Over-3-day injury (record only)"),"No","Yes")))</f>
        <v/>
      </c>
      <c r="U280" s="34" t="str">
        <f aca="false">IF(OR(C280="",S280=""),"",IF(S280="Over-7-day injury",C280+15,IF(OR(S280="Death",S280="Specified injury",S280="Member of public to hospital",S280="Dangerous occurrence"),C280+10,"")))</f>
        <v/>
      </c>
      <c r="V280" s="28" t="str">
        <f aca="true">IF(C280="","",IF(AH280="Void – logged in error","Void",IF(W280&lt;&gt;"","Done – reported",IF(S280="Occupational disease","REPORT NOW – on diagnosis",IF(ISNUMBER(U280),IF(U280&lt;TODAY(),"OVERDUE – report now",IF(U280=TODAY(),"DUE TODAY",IF(U280-TODAY()&lt;='Start here'!$C$7,"DUE in "&amp;(U280-TODAY())&amp;" days",IF(OR(S280="Death",S280="Specified injury",S280="Member of public to hospital",S280="Dangerous occurrence"),"REPORT without delay","Report by date shown")))),IF(AND(N(Q280)&gt;7,OR(S280="",S280="Not reportable",S280="Over-3-day injury (record only)")),"CHECK – over 7 days off",IF(S280="","Decide RIDDOR",IF(S280="Over-3-day injury (record only)","Record only","Not reportable"))))))))</f>
        <v/>
      </c>
      <c r="W280" s="30"/>
      <c r="X280" s="29"/>
      <c r="Y280" s="32"/>
      <c r="Z280" s="29"/>
      <c r="AA280" s="35"/>
      <c r="AB280" s="29"/>
      <c r="AC280" s="29"/>
      <c r="AD280" s="29"/>
      <c r="AE280" s="29"/>
      <c r="AF280" s="29"/>
      <c r="AG280" s="30"/>
      <c r="AH280" s="29"/>
      <c r="AI280" s="36" t="str">
        <f aca="true">IF(OR(C280="",AH280="Closed",AH280="Void – logged in error",AG280=""),"",IF(AG280&lt;TODAY(),"OVERDUE",IF(AG280-TODAY()&lt;='Start here'!$C$8,"Due soon","On track")))</f>
        <v/>
      </c>
      <c r="AJ280" s="29"/>
      <c r="AK280" s="29"/>
      <c r="AL280" s="30"/>
      <c r="AM280" s="37" t="str">
        <f aca="false">IF(AND(C280&lt;&gt;"",AH280&lt;&gt;"Closed",AH280&lt;&gt;"Void – logged in error",OR(AH280&lt;&gt;"",AD280&lt;&gt;"",AE280&lt;&gt;"",AF280&lt;&gt;"",AG280&lt;&gt;"")),ROW(),"")</f>
        <v/>
      </c>
    </row>
    <row r="281" customFormat="false" ht="30" hidden="false" customHeight="true" outlineLevel="0" collapsed="false">
      <c r="A281" s="28" t="str">
        <f aca="false">IF(C281="","","INC-"&amp;YEAR(C281)&amp;"-"&amp;TEXT(COUNTIFS($C$6:C281,"&gt;="&amp;DATE(YEAR(C281),1,1),$C$6:C281,"&lt;="&amp;DATE(YEAR(C281),12,31)),"000"))</f>
        <v/>
      </c>
      <c r="B281" s="29"/>
      <c r="C281" s="30"/>
      <c r="D281" s="31"/>
      <c r="E281" s="30"/>
      <c r="F281" s="29"/>
      <c r="G281" s="29"/>
      <c r="H281" s="29"/>
      <c r="I281" s="29"/>
      <c r="J281" s="29"/>
      <c r="K281" s="29"/>
      <c r="L281" s="29"/>
      <c r="M281" s="29"/>
      <c r="N281" s="29"/>
      <c r="O281" s="29"/>
      <c r="P281" s="29"/>
      <c r="Q281" s="32"/>
      <c r="R281" s="29"/>
      <c r="S281" s="29"/>
      <c r="T281" s="33" t="str">
        <f aca="false">IF(AH281="Void – logged in error","",IF(OR(C281="",S281=""),IF(C281="","","Decide"),IF(OR(S281="Not reportable",S281="Over-3-day injury (record only)"),"No","Yes")))</f>
        <v/>
      </c>
      <c r="U281" s="34" t="str">
        <f aca="false">IF(OR(C281="",S281=""),"",IF(S281="Over-7-day injury",C281+15,IF(OR(S281="Death",S281="Specified injury",S281="Member of public to hospital",S281="Dangerous occurrence"),C281+10,"")))</f>
        <v/>
      </c>
      <c r="V281" s="28" t="str">
        <f aca="true">IF(C281="","",IF(AH281="Void – logged in error","Void",IF(W281&lt;&gt;"","Done – reported",IF(S281="Occupational disease","REPORT NOW – on diagnosis",IF(ISNUMBER(U281),IF(U281&lt;TODAY(),"OVERDUE – report now",IF(U281=TODAY(),"DUE TODAY",IF(U281-TODAY()&lt;='Start here'!$C$7,"DUE in "&amp;(U281-TODAY())&amp;" days",IF(OR(S281="Death",S281="Specified injury",S281="Member of public to hospital",S281="Dangerous occurrence"),"REPORT without delay","Report by date shown")))),IF(AND(N(Q281)&gt;7,OR(S281="",S281="Not reportable",S281="Over-3-day injury (record only)")),"CHECK – over 7 days off",IF(S281="","Decide RIDDOR",IF(S281="Over-3-day injury (record only)","Record only","Not reportable"))))))))</f>
        <v/>
      </c>
      <c r="W281" s="30"/>
      <c r="X281" s="29"/>
      <c r="Y281" s="32"/>
      <c r="Z281" s="29"/>
      <c r="AA281" s="35"/>
      <c r="AB281" s="29"/>
      <c r="AC281" s="29"/>
      <c r="AD281" s="29"/>
      <c r="AE281" s="29"/>
      <c r="AF281" s="29"/>
      <c r="AG281" s="30"/>
      <c r="AH281" s="29"/>
      <c r="AI281" s="36" t="str">
        <f aca="true">IF(OR(C281="",AH281="Closed",AH281="Void – logged in error",AG281=""),"",IF(AG281&lt;TODAY(),"OVERDUE",IF(AG281-TODAY()&lt;='Start here'!$C$8,"Due soon","On track")))</f>
        <v/>
      </c>
      <c r="AJ281" s="29"/>
      <c r="AK281" s="29"/>
      <c r="AL281" s="30"/>
      <c r="AM281" s="37" t="str">
        <f aca="false">IF(AND(C281&lt;&gt;"",AH281&lt;&gt;"Closed",AH281&lt;&gt;"Void – logged in error",OR(AH281&lt;&gt;"",AD281&lt;&gt;"",AE281&lt;&gt;"",AF281&lt;&gt;"",AG281&lt;&gt;"")),ROW(),"")</f>
        <v/>
      </c>
    </row>
    <row r="282" customFormat="false" ht="30" hidden="false" customHeight="true" outlineLevel="0" collapsed="false">
      <c r="A282" s="28" t="str">
        <f aca="false">IF(C282="","","INC-"&amp;YEAR(C282)&amp;"-"&amp;TEXT(COUNTIFS($C$6:C282,"&gt;="&amp;DATE(YEAR(C282),1,1),$C$6:C282,"&lt;="&amp;DATE(YEAR(C282),12,31)),"000"))</f>
        <v/>
      </c>
      <c r="B282" s="29"/>
      <c r="C282" s="30"/>
      <c r="D282" s="31"/>
      <c r="E282" s="30"/>
      <c r="F282" s="29"/>
      <c r="G282" s="29"/>
      <c r="H282" s="29"/>
      <c r="I282" s="29"/>
      <c r="J282" s="29"/>
      <c r="K282" s="29"/>
      <c r="L282" s="29"/>
      <c r="M282" s="29"/>
      <c r="N282" s="29"/>
      <c r="O282" s="29"/>
      <c r="P282" s="29"/>
      <c r="Q282" s="32"/>
      <c r="R282" s="29"/>
      <c r="S282" s="29"/>
      <c r="T282" s="33" t="str">
        <f aca="false">IF(AH282="Void – logged in error","",IF(OR(C282="",S282=""),IF(C282="","","Decide"),IF(OR(S282="Not reportable",S282="Over-3-day injury (record only)"),"No","Yes")))</f>
        <v/>
      </c>
      <c r="U282" s="34" t="str">
        <f aca="false">IF(OR(C282="",S282=""),"",IF(S282="Over-7-day injury",C282+15,IF(OR(S282="Death",S282="Specified injury",S282="Member of public to hospital",S282="Dangerous occurrence"),C282+10,"")))</f>
        <v/>
      </c>
      <c r="V282" s="28" t="str">
        <f aca="true">IF(C282="","",IF(AH282="Void – logged in error","Void",IF(W282&lt;&gt;"","Done – reported",IF(S282="Occupational disease","REPORT NOW – on diagnosis",IF(ISNUMBER(U282),IF(U282&lt;TODAY(),"OVERDUE – report now",IF(U282=TODAY(),"DUE TODAY",IF(U282-TODAY()&lt;='Start here'!$C$7,"DUE in "&amp;(U282-TODAY())&amp;" days",IF(OR(S282="Death",S282="Specified injury",S282="Member of public to hospital",S282="Dangerous occurrence"),"REPORT without delay","Report by date shown")))),IF(AND(N(Q282)&gt;7,OR(S282="",S282="Not reportable",S282="Over-3-day injury (record only)")),"CHECK – over 7 days off",IF(S282="","Decide RIDDOR",IF(S282="Over-3-day injury (record only)","Record only","Not reportable"))))))))</f>
        <v/>
      </c>
      <c r="W282" s="30"/>
      <c r="X282" s="29"/>
      <c r="Y282" s="32"/>
      <c r="Z282" s="29"/>
      <c r="AA282" s="35"/>
      <c r="AB282" s="29"/>
      <c r="AC282" s="29"/>
      <c r="AD282" s="29"/>
      <c r="AE282" s="29"/>
      <c r="AF282" s="29"/>
      <c r="AG282" s="30"/>
      <c r="AH282" s="29"/>
      <c r="AI282" s="36" t="str">
        <f aca="true">IF(OR(C282="",AH282="Closed",AH282="Void – logged in error",AG282=""),"",IF(AG282&lt;TODAY(),"OVERDUE",IF(AG282-TODAY()&lt;='Start here'!$C$8,"Due soon","On track")))</f>
        <v/>
      </c>
      <c r="AJ282" s="29"/>
      <c r="AK282" s="29"/>
      <c r="AL282" s="30"/>
      <c r="AM282" s="37" t="str">
        <f aca="false">IF(AND(C282&lt;&gt;"",AH282&lt;&gt;"Closed",AH282&lt;&gt;"Void – logged in error",OR(AH282&lt;&gt;"",AD282&lt;&gt;"",AE282&lt;&gt;"",AF282&lt;&gt;"",AG282&lt;&gt;"")),ROW(),"")</f>
        <v/>
      </c>
    </row>
    <row r="283" customFormat="false" ht="30" hidden="false" customHeight="true" outlineLevel="0" collapsed="false">
      <c r="A283" s="28" t="str">
        <f aca="false">IF(C283="","","INC-"&amp;YEAR(C283)&amp;"-"&amp;TEXT(COUNTIFS($C$6:C283,"&gt;="&amp;DATE(YEAR(C283),1,1),$C$6:C283,"&lt;="&amp;DATE(YEAR(C283),12,31)),"000"))</f>
        <v/>
      </c>
      <c r="B283" s="29"/>
      <c r="C283" s="30"/>
      <c r="D283" s="31"/>
      <c r="E283" s="30"/>
      <c r="F283" s="29"/>
      <c r="G283" s="29"/>
      <c r="H283" s="29"/>
      <c r="I283" s="29"/>
      <c r="J283" s="29"/>
      <c r="K283" s="29"/>
      <c r="L283" s="29"/>
      <c r="M283" s="29"/>
      <c r="N283" s="29"/>
      <c r="O283" s="29"/>
      <c r="P283" s="29"/>
      <c r="Q283" s="32"/>
      <c r="R283" s="29"/>
      <c r="S283" s="29"/>
      <c r="T283" s="33" t="str">
        <f aca="false">IF(AH283="Void – logged in error","",IF(OR(C283="",S283=""),IF(C283="","","Decide"),IF(OR(S283="Not reportable",S283="Over-3-day injury (record only)"),"No","Yes")))</f>
        <v/>
      </c>
      <c r="U283" s="34" t="str">
        <f aca="false">IF(OR(C283="",S283=""),"",IF(S283="Over-7-day injury",C283+15,IF(OR(S283="Death",S283="Specified injury",S283="Member of public to hospital",S283="Dangerous occurrence"),C283+10,"")))</f>
        <v/>
      </c>
      <c r="V283" s="28" t="str">
        <f aca="true">IF(C283="","",IF(AH283="Void – logged in error","Void",IF(W283&lt;&gt;"","Done – reported",IF(S283="Occupational disease","REPORT NOW – on diagnosis",IF(ISNUMBER(U283),IF(U283&lt;TODAY(),"OVERDUE – report now",IF(U283=TODAY(),"DUE TODAY",IF(U283-TODAY()&lt;='Start here'!$C$7,"DUE in "&amp;(U283-TODAY())&amp;" days",IF(OR(S283="Death",S283="Specified injury",S283="Member of public to hospital",S283="Dangerous occurrence"),"REPORT without delay","Report by date shown")))),IF(AND(N(Q283)&gt;7,OR(S283="",S283="Not reportable",S283="Over-3-day injury (record only)")),"CHECK – over 7 days off",IF(S283="","Decide RIDDOR",IF(S283="Over-3-day injury (record only)","Record only","Not reportable"))))))))</f>
        <v/>
      </c>
      <c r="W283" s="30"/>
      <c r="X283" s="29"/>
      <c r="Y283" s="32"/>
      <c r="Z283" s="29"/>
      <c r="AA283" s="35"/>
      <c r="AB283" s="29"/>
      <c r="AC283" s="29"/>
      <c r="AD283" s="29"/>
      <c r="AE283" s="29"/>
      <c r="AF283" s="29"/>
      <c r="AG283" s="30"/>
      <c r="AH283" s="29"/>
      <c r="AI283" s="36" t="str">
        <f aca="true">IF(OR(C283="",AH283="Closed",AH283="Void – logged in error",AG283=""),"",IF(AG283&lt;TODAY(),"OVERDUE",IF(AG283-TODAY()&lt;='Start here'!$C$8,"Due soon","On track")))</f>
        <v/>
      </c>
      <c r="AJ283" s="29"/>
      <c r="AK283" s="29"/>
      <c r="AL283" s="30"/>
      <c r="AM283" s="37" t="str">
        <f aca="false">IF(AND(C283&lt;&gt;"",AH283&lt;&gt;"Closed",AH283&lt;&gt;"Void – logged in error",OR(AH283&lt;&gt;"",AD283&lt;&gt;"",AE283&lt;&gt;"",AF283&lt;&gt;"",AG283&lt;&gt;"")),ROW(),"")</f>
        <v/>
      </c>
    </row>
    <row r="284" customFormat="false" ht="30" hidden="false" customHeight="true" outlineLevel="0" collapsed="false">
      <c r="A284" s="28" t="str">
        <f aca="false">IF(C284="","","INC-"&amp;YEAR(C284)&amp;"-"&amp;TEXT(COUNTIFS($C$6:C284,"&gt;="&amp;DATE(YEAR(C284),1,1),$C$6:C284,"&lt;="&amp;DATE(YEAR(C284),12,31)),"000"))</f>
        <v/>
      </c>
      <c r="B284" s="29"/>
      <c r="C284" s="30"/>
      <c r="D284" s="31"/>
      <c r="E284" s="30"/>
      <c r="F284" s="29"/>
      <c r="G284" s="29"/>
      <c r="H284" s="29"/>
      <c r="I284" s="29"/>
      <c r="J284" s="29"/>
      <c r="K284" s="29"/>
      <c r="L284" s="29"/>
      <c r="M284" s="29"/>
      <c r="N284" s="29"/>
      <c r="O284" s="29"/>
      <c r="P284" s="29"/>
      <c r="Q284" s="32"/>
      <c r="R284" s="29"/>
      <c r="S284" s="29"/>
      <c r="T284" s="33" t="str">
        <f aca="false">IF(AH284="Void – logged in error","",IF(OR(C284="",S284=""),IF(C284="","","Decide"),IF(OR(S284="Not reportable",S284="Over-3-day injury (record only)"),"No","Yes")))</f>
        <v/>
      </c>
      <c r="U284" s="34" t="str">
        <f aca="false">IF(OR(C284="",S284=""),"",IF(S284="Over-7-day injury",C284+15,IF(OR(S284="Death",S284="Specified injury",S284="Member of public to hospital",S284="Dangerous occurrence"),C284+10,"")))</f>
        <v/>
      </c>
      <c r="V284" s="28" t="str">
        <f aca="true">IF(C284="","",IF(AH284="Void – logged in error","Void",IF(W284&lt;&gt;"","Done – reported",IF(S284="Occupational disease","REPORT NOW – on diagnosis",IF(ISNUMBER(U284),IF(U284&lt;TODAY(),"OVERDUE – report now",IF(U284=TODAY(),"DUE TODAY",IF(U284-TODAY()&lt;='Start here'!$C$7,"DUE in "&amp;(U284-TODAY())&amp;" days",IF(OR(S284="Death",S284="Specified injury",S284="Member of public to hospital",S284="Dangerous occurrence"),"REPORT without delay","Report by date shown")))),IF(AND(N(Q284)&gt;7,OR(S284="",S284="Not reportable",S284="Over-3-day injury (record only)")),"CHECK – over 7 days off",IF(S284="","Decide RIDDOR",IF(S284="Over-3-day injury (record only)","Record only","Not reportable"))))))))</f>
        <v/>
      </c>
      <c r="W284" s="30"/>
      <c r="X284" s="29"/>
      <c r="Y284" s="32"/>
      <c r="Z284" s="29"/>
      <c r="AA284" s="35"/>
      <c r="AB284" s="29"/>
      <c r="AC284" s="29"/>
      <c r="AD284" s="29"/>
      <c r="AE284" s="29"/>
      <c r="AF284" s="29"/>
      <c r="AG284" s="30"/>
      <c r="AH284" s="29"/>
      <c r="AI284" s="36" t="str">
        <f aca="true">IF(OR(C284="",AH284="Closed",AH284="Void – logged in error",AG284=""),"",IF(AG284&lt;TODAY(),"OVERDUE",IF(AG284-TODAY()&lt;='Start here'!$C$8,"Due soon","On track")))</f>
        <v/>
      </c>
      <c r="AJ284" s="29"/>
      <c r="AK284" s="29"/>
      <c r="AL284" s="30"/>
      <c r="AM284" s="37" t="str">
        <f aca="false">IF(AND(C284&lt;&gt;"",AH284&lt;&gt;"Closed",AH284&lt;&gt;"Void – logged in error",OR(AH284&lt;&gt;"",AD284&lt;&gt;"",AE284&lt;&gt;"",AF284&lt;&gt;"",AG284&lt;&gt;"")),ROW(),"")</f>
        <v/>
      </c>
    </row>
    <row r="285" customFormat="false" ht="30" hidden="false" customHeight="true" outlineLevel="0" collapsed="false">
      <c r="A285" s="28" t="str">
        <f aca="false">IF(C285="","","INC-"&amp;YEAR(C285)&amp;"-"&amp;TEXT(COUNTIFS($C$6:C285,"&gt;="&amp;DATE(YEAR(C285),1,1),$C$6:C285,"&lt;="&amp;DATE(YEAR(C285),12,31)),"000"))</f>
        <v/>
      </c>
      <c r="B285" s="29"/>
      <c r="C285" s="30"/>
      <c r="D285" s="31"/>
      <c r="E285" s="30"/>
      <c r="F285" s="29"/>
      <c r="G285" s="29"/>
      <c r="H285" s="29"/>
      <c r="I285" s="29"/>
      <c r="J285" s="29"/>
      <c r="K285" s="29"/>
      <c r="L285" s="29"/>
      <c r="M285" s="29"/>
      <c r="N285" s="29"/>
      <c r="O285" s="29"/>
      <c r="P285" s="29"/>
      <c r="Q285" s="32"/>
      <c r="R285" s="29"/>
      <c r="S285" s="29"/>
      <c r="T285" s="33" t="str">
        <f aca="false">IF(AH285="Void – logged in error","",IF(OR(C285="",S285=""),IF(C285="","","Decide"),IF(OR(S285="Not reportable",S285="Over-3-day injury (record only)"),"No","Yes")))</f>
        <v/>
      </c>
      <c r="U285" s="34" t="str">
        <f aca="false">IF(OR(C285="",S285=""),"",IF(S285="Over-7-day injury",C285+15,IF(OR(S285="Death",S285="Specified injury",S285="Member of public to hospital",S285="Dangerous occurrence"),C285+10,"")))</f>
        <v/>
      </c>
      <c r="V285" s="28" t="str">
        <f aca="true">IF(C285="","",IF(AH285="Void – logged in error","Void",IF(W285&lt;&gt;"","Done – reported",IF(S285="Occupational disease","REPORT NOW – on diagnosis",IF(ISNUMBER(U285),IF(U285&lt;TODAY(),"OVERDUE – report now",IF(U285=TODAY(),"DUE TODAY",IF(U285-TODAY()&lt;='Start here'!$C$7,"DUE in "&amp;(U285-TODAY())&amp;" days",IF(OR(S285="Death",S285="Specified injury",S285="Member of public to hospital",S285="Dangerous occurrence"),"REPORT without delay","Report by date shown")))),IF(AND(N(Q285)&gt;7,OR(S285="",S285="Not reportable",S285="Over-3-day injury (record only)")),"CHECK – over 7 days off",IF(S285="","Decide RIDDOR",IF(S285="Over-3-day injury (record only)","Record only","Not reportable"))))))))</f>
        <v/>
      </c>
      <c r="W285" s="30"/>
      <c r="X285" s="29"/>
      <c r="Y285" s="32"/>
      <c r="Z285" s="29"/>
      <c r="AA285" s="35"/>
      <c r="AB285" s="29"/>
      <c r="AC285" s="29"/>
      <c r="AD285" s="29"/>
      <c r="AE285" s="29"/>
      <c r="AF285" s="29"/>
      <c r="AG285" s="30"/>
      <c r="AH285" s="29"/>
      <c r="AI285" s="36" t="str">
        <f aca="true">IF(OR(C285="",AH285="Closed",AH285="Void – logged in error",AG285=""),"",IF(AG285&lt;TODAY(),"OVERDUE",IF(AG285-TODAY()&lt;='Start here'!$C$8,"Due soon","On track")))</f>
        <v/>
      </c>
      <c r="AJ285" s="29"/>
      <c r="AK285" s="29"/>
      <c r="AL285" s="30"/>
      <c r="AM285" s="37" t="str">
        <f aca="false">IF(AND(C285&lt;&gt;"",AH285&lt;&gt;"Closed",AH285&lt;&gt;"Void – logged in error",OR(AH285&lt;&gt;"",AD285&lt;&gt;"",AE285&lt;&gt;"",AF285&lt;&gt;"",AG285&lt;&gt;"")),ROW(),"")</f>
        <v/>
      </c>
    </row>
    <row r="286" customFormat="false" ht="30" hidden="false" customHeight="true" outlineLevel="0" collapsed="false">
      <c r="A286" s="28" t="str">
        <f aca="false">IF(C286="","","INC-"&amp;YEAR(C286)&amp;"-"&amp;TEXT(COUNTIFS($C$6:C286,"&gt;="&amp;DATE(YEAR(C286),1,1),$C$6:C286,"&lt;="&amp;DATE(YEAR(C286),12,31)),"000"))</f>
        <v/>
      </c>
      <c r="B286" s="29"/>
      <c r="C286" s="30"/>
      <c r="D286" s="31"/>
      <c r="E286" s="30"/>
      <c r="F286" s="29"/>
      <c r="G286" s="29"/>
      <c r="H286" s="29"/>
      <c r="I286" s="29"/>
      <c r="J286" s="29"/>
      <c r="K286" s="29"/>
      <c r="L286" s="29"/>
      <c r="M286" s="29"/>
      <c r="N286" s="29"/>
      <c r="O286" s="29"/>
      <c r="P286" s="29"/>
      <c r="Q286" s="32"/>
      <c r="R286" s="29"/>
      <c r="S286" s="29"/>
      <c r="T286" s="33" t="str">
        <f aca="false">IF(AH286="Void – logged in error","",IF(OR(C286="",S286=""),IF(C286="","","Decide"),IF(OR(S286="Not reportable",S286="Over-3-day injury (record only)"),"No","Yes")))</f>
        <v/>
      </c>
      <c r="U286" s="34" t="str">
        <f aca="false">IF(OR(C286="",S286=""),"",IF(S286="Over-7-day injury",C286+15,IF(OR(S286="Death",S286="Specified injury",S286="Member of public to hospital",S286="Dangerous occurrence"),C286+10,"")))</f>
        <v/>
      </c>
      <c r="V286" s="28" t="str">
        <f aca="true">IF(C286="","",IF(AH286="Void – logged in error","Void",IF(W286&lt;&gt;"","Done – reported",IF(S286="Occupational disease","REPORT NOW – on diagnosis",IF(ISNUMBER(U286),IF(U286&lt;TODAY(),"OVERDUE – report now",IF(U286=TODAY(),"DUE TODAY",IF(U286-TODAY()&lt;='Start here'!$C$7,"DUE in "&amp;(U286-TODAY())&amp;" days",IF(OR(S286="Death",S286="Specified injury",S286="Member of public to hospital",S286="Dangerous occurrence"),"REPORT without delay","Report by date shown")))),IF(AND(N(Q286)&gt;7,OR(S286="",S286="Not reportable",S286="Over-3-day injury (record only)")),"CHECK – over 7 days off",IF(S286="","Decide RIDDOR",IF(S286="Over-3-day injury (record only)","Record only","Not reportable"))))))))</f>
        <v/>
      </c>
      <c r="W286" s="30"/>
      <c r="X286" s="29"/>
      <c r="Y286" s="32"/>
      <c r="Z286" s="29"/>
      <c r="AA286" s="35"/>
      <c r="AB286" s="29"/>
      <c r="AC286" s="29"/>
      <c r="AD286" s="29"/>
      <c r="AE286" s="29"/>
      <c r="AF286" s="29"/>
      <c r="AG286" s="30"/>
      <c r="AH286" s="29"/>
      <c r="AI286" s="36" t="str">
        <f aca="true">IF(OR(C286="",AH286="Closed",AH286="Void – logged in error",AG286=""),"",IF(AG286&lt;TODAY(),"OVERDUE",IF(AG286-TODAY()&lt;='Start here'!$C$8,"Due soon","On track")))</f>
        <v/>
      </c>
      <c r="AJ286" s="29"/>
      <c r="AK286" s="29"/>
      <c r="AL286" s="30"/>
      <c r="AM286" s="37" t="str">
        <f aca="false">IF(AND(C286&lt;&gt;"",AH286&lt;&gt;"Closed",AH286&lt;&gt;"Void – logged in error",OR(AH286&lt;&gt;"",AD286&lt;&gt;"",AE286&lt;&gt;"",AF286&lt;&gt;"",AG286&lt;&gt;"")),ROW(),"")</f>
        <v/>
      </c>
    </row>
    <row r="287" customFormat="false" ht="30" hidden="false" customHeight="true" outlineLevel="0" collapsed="false">
      <c r="A287" s="28" t="str">
        <f aca="false">IF(C287="","","INC-"&amp;YEAR(C287)&amp;"-"&amp;TEXT(COUNTIFS($C$6:C287,"&gt;="&amp;DATE(YEAR(C287),1,1),$C$6:C287,"&lt;="&amp;DATE(YEAR(C287),12,31)),"000"))</f>
        <v/>
      </c>
      <c r="B287" s="29"/>
      <c r="C287" s="30"/>
      <c r="D287" s="31"/>
      <c r="E287" s="30"/>
      <c r="F287" s="29"/>
      <c r="G287" s="29"/>
      <c r="H287" s="29"/>
      <c r="I287" s="29"/>
      <c r="J287" s="29"/>
      <c r="K287" s="29"/>
      <c r="L287" s="29"/>
      <c r="M287" s="29"/>
      <c r="N287" s="29"/>
      <c r="O287" s="29"/>
      <c r="P287" s="29"/>
      <c r="Q287" s="32"/>
      <c r="R287" s="29"/>
      <c r="S287" s="29"/>
      <c r="T287" s="33" t="str">
        <f aca="false">IF(AH287="Void – logged in error","",IF(OR(C287="",S287=""),IF(C287="","","Decide"),IF(OR(S287="Not reportable",S287="Over-3-day injury (record only)"),"No","Yes")))</f>
        <v/>
      </c>
      <c r="U287" s="34" t="str">
        <f aca="false">IF(OR(C287="",S287=""),"",IF(S287="Over-7-day injury",C287+15,IF(OR(S287="Death",S287="Specified injury",S287="Member of public to hospital",S287="Dangerous occurrence"),C287+10,"")))</f>
        <v/>
      </c>
      <c r="V287" s="28" t="str">
        <f aca="true">IF(C287="","",IF(AH287="Void – logged in error","Void",IF(W287&lt;&gt;"","Done – reported",IF(S287="Occupational disease","REPORT NOW – on diagnosis",IF(ISNUMBER(U287),IF(U287&lt;TODAY(),"OVERDUE – report now",IF(U287=TODAY(),"DUE TODAY",IF(U287-TODAY()&lt;='Start here'!$C$7,"DUE in "&amp;(U287-TODAY())&amp;" days",IF(OR(S287="Death",S287="Specified injury",S287="Member of public to hospital",S287="Dangerous occurrence"),"REPORT without delay","Report by date shown")))),IF(AND(N(Q287)&gt;7,OR(S287="",S287="Not reportable",S287="Over-3-day injury (record only)")),"CHECK – over 7 days off",IF(S287="","Decide RIDDOR",IF(S287="Over-3-day injury (record only)","Record only","Not reportable"))))))))</f>
        <v/>
      </c>
      <c r="W287" s="30"/>
      <c r="X287" s="29"/>
      <c r="Y287" s="32"/>
      <c r="Z287" s="29"/>
      <c r="AA287" s="35"/>
      <c r="AB287" s="29"/>
      <c r="AC287" s="29"/>
      <c r="AD287" s="29"/>
      <c r="AE287" s="29"/>
      <c r="AF287" s="29"/>
      <c r="AG287" s="30"/>
      <c r="AH287" s="29"/>
      <c r="AI287" s="36" t="str">
        <f aca="true">IF(OR(C287="",AH287="Closed",AH287="Void – logged in error",AG287=""),"",IF(AG287&lt;TODAY(),"OVERDUE",IF(AG287-TODAY()&lt;='Start here'!$C$8,"Due soon","On track")))</f>
        <v/>
      </c>
      <c r="AJ287" s="29"/>
      <c r="AK287" s="29"/>
      <c r="AL287" s="30"/>
      <c r="AM287" s="37" t="str">
        <f aca="false">IF(AND(C287&lt;&gt;"",AH287&lt;&gt;"Closed",AH287&lt;&gt;"Void – logged in error",OR(AH287&lt;&gt;"",AD287&lt;&gt;"",AE287&lt;&gt;"",AF287&lt;&gt;"",AG287&lt;&gt;"")),ROW(),"")</f>
        <v/>
      </c>
    </row>
    <row r="288" customFormat="false" ht="30" hidden="false" customHeight="true" outlineLevel="0" collapsed="false">
      <c r="A288" s="28" t="str">
        <f aca="false">IF(C288="","","INC-"&amp;YEAR(C288)&amp;"-"&amp;TEXT(COUNTIFS($C$6:C288,"&gt;="&amp;DATE(YEAR(C288),1,1),$C$6:C288,"&lt;="&amp;DATE(YEAR(C288),12,31)),"000"))</f>
        <v/>
      </c>
      <c r="B288" s="29"/>
      <c r="C288" s="30"/>
      <c r="D288" s="31"/>
      <c r="E288" s="30"/>
      <c r="F288" s="29"/>
      <c r="G288" s="29"/>
      <c r="H288" s="29"/>
      <c r="I288" s="29"/>
      <c r="J288" s="29"/>
      <c r="K288" s="29"/>
      <c r="L288" s="29"/>
      <c r="M288" s="29"/>
      <c r="N288" s="29"/>
      <c r="O288" s="29"/>
      <c r="P288" s="29"/>
      <c r="Q288" s="32"/>
      <c r="R288" s="29"/>
      <c r="S288" s="29"/>
      <c r="T288" s="33" t="str">
        <f aca="false">IF(AH288="Void – logged in error","",IF(OR(C288="",S288=""),IF(C288="","","Decide"),IF(OR(S288="Not reportable",S288="Over-3-day injury (record only)"),"No","Yes")))</f>
        <v/>
      </c>
      <c r="U288" s="34" t="str">
        <f aca="false">IF(OR(C288="",S288=""),"",IF(S288="Over-7-day injury",C288+15,IF(OR(S288="Death",S288="Specified injury",S288="Member of public to hospital",S288="Dangerous occurrence"),C288+10,"")))</f>
        <v/>
      </c>
      <c r="V288" s="28" t="str">
        <f aca="true">IF(C288="","",IF(AH288="Void – logged in error","Void",IF(W288&lt;&gt;"","Done – reported",IF(S288="Occupational disease","REPORT NOW – on diagnosis",IF(ISNUMBER(U288),IF(U288&lt;TODAY(),"OVERDUE – report now",IF(U288=TODAY(),"DUE TODAY",IF(U288-TODAY()&lt;='Start here'!$C$7,"DUE in "&amp;(U288-TODAY())&amp;" days",IF(OR(S288="Death",S288="Specified injury",S288="Member of public to hospital",S288="Dangerous occurrence"),"REPORT without delay","Report by date shown")))),IF(AND(N(Q288)&gt;7,OR(S288="",S288="Not reportable",S288="Over-3-day injury (record only)")),"CHECK – over 7 days off",IF(S288="","Decide RIDDOR",IF(S288="Over-3-day injury (record only)","Record only","Not reportable"))))))))</f>
        <v/>
      </c>
      <c r="W288" s="30"/>
      <c r="X288" s="29"/>
      <c r="Y288" s="32"/>
      <c r="Z288" s="29"/>
      <c r="AA288" s="35"/>
      <c r="AB288" s="29"/>
      <c r="AC288" s="29"/>
      <c r="AD288" s="29"/>
      <c r="AE288" s="29"/>
      <c r="AF288" s="29"/>
      <c r="AG288" s="30"/>
      <c r="AH288" s="29"/>
      <c r="AI288" s="36" t="str">
        <f aca="true">IF(OR(C288="",AH288="Closed",AH288="Void – logged in error",AG288=""),"",IF(AG288&lt;TODAY(),"OVERDUE",IF(AG288-TODAY()&lt;='Start here'!$C$8,"Due soon","On track")))</f>
        <v/>
      </c>
      <c r="AJ288" s="29"/>
      <c r="AK288" s="29"/>
      <c r="AL288" s="30"/>
      <c r="AM288" s="37" t="str">
        <f aca="false">IF(AND(C288&lt;&gt;"",AH288&lt;&gt;"Closed",AH288&lt;&gt;"Void – logged in error",OR(AH288&lt;&gt;"",AD288&lt;&gt;"",AE288&lt;&gt;"",AF288&lt;&gt;"",AG288&lt;&gt;"")),ROW(),"")</f>
        <v/>
      </c>
    </row>
    <row r="289" customFormat="false" ht="30" hidden="false" customHeight="true" outlineLevel="0" collapsed="false">
      <c r="A289" s="28" t="str">
        <f aca="false">IF(C289="","","INC-"&amp;YEAR(C289)&amp;"-"&amp;TEXT(COUNTIFS($C$6:C289,"&gt;="&amp;DATE(YEAR(C289),1,1),$C$6:C289,"&lt;="&amp;DATE(YEAR(C289),12,31)),"000"))</f>
        <v/>
      </c>
      <c r="B289" s="29"/>
      <c r="C289" s="30"/>
      <c r="D289" s="31"/>
      <c r="E289" s="30"/>
      <c r="F289" s="29"/>
      <c r="G289" s="29"/>
      <c r="H289" s="29"/>
      <c r="I289" s="29"/>
      <c r="J289" s="29"/>
      <c r="K289" s="29"/>
      <c r="L289" s="29"/>
      <c r="M289" s="29"/>
      <c r="N289" s="29"/>
      <c r="O289" s="29"/>
      <c r="P289" s="29"/>
      <c r="Q289" s="32"/>
      <c r="R289" s="29"/>
      <c r="S289" s="29"/>
      <c r="T289" s="33" t="str">
        <f aca="false">IF(AH289="Void – logged in error","",IF(OR(C289="",S289=""),IF(C289="","","Decide"),IF(OR(S289="Not reportable",S289="Over-3-day injury (record only)"),"No","Yes")))</f>
        <v/>
      </c>
      <c r="U289" s="34" t="str">
        <f aca="false">IF(OR(C289="",S289=""),"",IF(S289="Over-7-day injury",C289+15,IF(OR(S289="Death",S289="Specified injury",S289="Member of public to hospital",S289="Dangerous occurrence"),C289+10,"")))</f>
        <v/>
      </c>
      <c r="V289" s="28" t="str">
        <f aca="true">IF(C289="","",IF(AH289="Void – logged in error","Void",IF(W289&lt;&gt;"","Done – reported",IF(S289="Occupational disease","REPORT NOW – on diagnosis",IF(ISNUMBER(U289),IF(U289&lt;TODAY(),"OVERDUE – report now",IF(U289=TODAY(),"DUE TODAY",IF(U289-TODAY()&lt;='Start here'!$C$7,"DUE in "&amp;(U289-TODAY())&amp;" days",IF(OR(S289="Death",S289="Specified injury",S289="Member of public to hospital",S289="Dangerous occurrence"),"REPORT without delay","Report by date shown")))),IF(AND(N(Q289)&gt;7,OR(S289="",S289="Not reportable",S289="Over-3-day injury (record only)")),"CHECK – over 7 days off",IF(S289="","Decide RIDDOR",IF(S289="Over-3-day injury (record only)","Record only","Not reportable"))))))))</f>
        <v/>
      </c>
      <c r="W289" s="30"/>
      <c r="X289" s="29"/>
      <c r="Y289" s="32"/>
      <c r="Z289" s="29"/>
      <c r="AA289" s="35"/>
      <c r="AB289" s="29"/>
      <c r="AC289" s="29"/>
      <c r="AD289" s="29"/>
      <c r="AE289" s="29"/>
      <c r="AF289" s="29"/>
      <c r="AG289" s="30"/>
      <c r="AH289" s="29"/>
      <c r="AI289" s="36" t="str">
        <f aca="true">IF(OR(C289="",AH289="Closed",AH289="Void – logged in error",AG289=""),"",IF(AG289&lt;TODAY(),"OVERDUE",IF(AG289-TODAY()&lt;='Start here'!$C$8,"Due soon","On track")))</f>
        <v/>
      </c>
      <c r="AJ289" s="29"/>
      <c r="AK289" s="29"/>
      <c r="AL289" s="30"/>
      <c r="AM289" s="37" t="str">
        <f aca="false">IF(AND(C289&lt;&gt;"",AH289&lt;&gt;"Closed",AH289&lt;&gt;"Void – logged in error",OR(AH289&lt;&gt;"",AD289&lt;&gt;"",AE289&lt;&gt;"",AF289&lt;&gt;"",AG289&lt;&gt;"")),ROW(),"")</f>
        <v/>
      </c>
    </row>
    <row r="290" customFormat="false" ht="30" hidden="false" customHeight="true" outlineLevel="0" collapsed="false">
      <c r="A290" s="28" t="str">
        <f aca="false">IF(C290="","","INC-"&amp;YEAR(C290)&amp;"-"&amp;TEXT(COUNTIFS($C$6:C290,"&gt;="&amp;DATE(YEAR(C290),1,1),$C$6:C290,"&lt;="&amp;DATE(YEAR(C290),12,31)),"000"))</f>
        <v/>
      </c>
      <c r="B290" s="29"/>
      <c r="C290" s="30"/>
      <c r="D290" s="31"/>
      <c r="E290" s="30"/>
      <c r="F290" s="29"/>
      <c r="G290" s="29"/>
      <c r="H290" s="29"/>
      <c r="I290" s="29"/>
      <c r="J290" s="29"/>
      <c r="K290" s="29"/>
      <c r="L290" s="29"/>
      <c r="M290" s="29"/>
      <c r="N290" s="29"/>
      <c r="O290" s="29"/>
      <c r="P290" s="29"/>
      <c r="Q290" s="32"/>
      <c r="R290" s="29"/>
      <c r="S290" s="29"/>
      <c r="T290" s="33" t="str">
        <f aca="false">IF(AH290="Void – logged in error","",IF(OR(C290="",S290=""),IF(C290="","","Decide"),IF(OR(S290="Not reportable",S290="Over-3-day injury (record only)"),"No","Yes")))</f>
        <v/>
      </c>
      <c r="U290" s="34" t="str">
        <f aca="false">IF(OR(C290="",S290=""),"",IF(S290="Over-7-day injury",C290+15,IF(OR(S290="Death",S290="Specified injury",S290="Member of public to hospital",S290="Dangerous occurrence"),C290+10,"")))</f>
        <v/>
      </c>
      <c r="V290" s="28" t="str">
        <f aca="true">IF(C290="","",IF(AH290="Void – logged in error","Void",IF(W290&lt;&gt;"","Done – reported",IF(S290="Occupational disease","REPORT NOW – on diagnosis",IF(ISNUMBER(U290),IF(U290&lt;TODAY(),"OVERDUE – report now",IF(U290=TODAY(),"DUE TODAY",IF(U290-TODAY()&lt;='Start here'!$C$7,"DUE in "&amp;(U290-TODAY())&amp;" days",IF(OR(S290="Death",S290="Specified injury",S290="Member of public to hospital",S290="Dangerous occurrence"),"REPORT without delay","Report by date shown")))),IF(AND(N(Q290)&gt;7,OR(S290="",S290="Not reportable",S290="Over-3-day injury (record only)")),"CHECK – over 7 days off",IF(S290="","Decide RIDDOR",IF(S290="Over-3-day injury (record only)","Record only","Not reportable"))))))))</f>
        <v/>
      </c>
      <c r="W290" s="30"/>
      <c r="X290" s="29"/>
      <c r="Y290" s="32"/>
      <c r="Z290" s="29"/>
      <c r="AA290" s="35"/>
      <c r="AB290" s="29"/>
      <c r="AC290" s="29"/>
      <c r="AD290" s="29"/>
      <c r="AE290" s="29"/>
      <c r="AF290" s="29"/>
      <c r="AG290" s="30"/>
      <c r="AH290" s="29"/>
      <c r="AI290" s="36" t="str">
        <f aca="true">IF(OR(C290="",AH290="Closed",AH290="Void – logged in error",AG290=""),"",IF(AG290&lt;TODAY(),"OVERDUE",IF(AG290-TODAY()&lt;='Start here'!$C$8,"Due soon","On track")))</f>
        <v/>
      </c>
      <c r="AJ290" s="29"/>
      <c r="AK290" s="29"/>
      <c r="AL290" s="30"/>
      <c r="AM290" s="37" t="str">
        <f aca="false">IF(AND(C290&lt;&gt;"",AH290&lt;&gt;"Closed",AH290&lt;&gt;"Void – logged in error",OR(AH290&lt;&gt;"",AD290&lt;&gt;"",AE290&lt;&gt;"",AF290&lt;&gt;"",AG290&lt;&gt;"")),ROW(),"")</f>
        <v/>
      </c>
    </row>
    <row r="291" customFormat="false" ht="30" hidden="false" customHeight="true" outlineLevel="0" collapsed="false">
      <c r="A291" s="28" t="str">
        <f aca="false">IF(C291="","","INC-"&amp;YEAR(C291)&amp;"-"&amp;TEXT(COUNTIFS($C$6:C291,"&gt;="&amp;DATE(YEAR(C291),1,1),$C$6:C291,"&lt;="&amp;DATE(YEAR(C291),12,31)),"000"))</f>
        <v/>
      </c>
      <c r="B291" s="29"/>
      <c r="C291" s="30"/>
      <c r="D291" s="31"/>
      <c r="E291" s="30"/>
      <c r="F291" s="29"/>
      <c r="G291" s="29"/>
      <c r="H291" s="29"/>
      <c r="I291" s="29"/>
      <c r="J291" s="29"/>
      <c r="K291" s="29"/>
      <c r="L291" s="29"/>
      <c r="M291" s="29"/>
      <c r="N291" s="29"/>
      <c r="O291" s="29"/>
      <c r="P291" s="29"/>
      <c r="Q291" s="32"/>
      <c r="R291" s="29"/>
      <c r="S291" s="29"/>
      <c r="T291" s="33" t="str">
        <f aca="false">IF(AH291="Void – logged in error","",IF(OR(C291="",S291=""),IF(C291="","","Decide"),IF(OR(S291="Not reportable",S291="Over-3-day injury (record only)"),"No","Yes")))</f>
        <v/>
      </c>
      <c r="U291" s="34" t="str">
        <f aca="false">IF(OR(C291="",S291=""),"",IF(S291="Over-7-day injury",C291+15,IF(OR(S291="Death",S291="Specified injury",S291="Member of public to hospital",S291="Dangerous occurrence"),C291+10,"")))</f>
        <v/>
      </c>
      <c r="V291" s="28" t="str">
        <f aca="true">IF(C291="","",IF(AH291="Void – logged in error","Void",IF(W291&lt;&gt;"","Done – reported",IF(S291="Occupational disease","REPORT NOW – on diagnosis",IF(ISNUMBER(U291),IF(U291&lt;TODAY(),"OVERDUE – report now",IF(U291=TODAY(),"DUE TODAY",IF(U291-TODAY()&lt;='Start here'!$C$7,"DUE in "&amp;(U291-TODAY())&amp;" days",IF(OR(S291="Death",S291="Specified injury",S291="Member of public to hospital",S291="Dangerous occurrence"),"REPORT without delay","Report by date shown")))),IF(AND(N(Q291)&gt;7,OR(S291="",S291="Not reportable",S291="Over-3-day injury (record only)")),"CHECK – over 7 days off",IF(S291="","Decide RIDDOR",IF(S291="Over-3-day injury (record only)","Record only","Not reportable"))))))))</f>
        <v/>
      </c>
      <c r="W291" s="30"/>
      <c r="X291" s="29"/>
      <c r="Y291" s="32"/>
      <c r="Z291" s="29"/>
      <c r="AA291" s="35"/>
      <c r="AB291" s="29"/>
      <c r="AC291" s="29"/>
      <c r="AD291" s="29"/>
      <c r="AE291" s="29"/>
      <c r="AF291" s="29"/>
      <c r="AG291" s="30"/>
      <c r="AH291" s="29"/>
      <c r="AI291" s="36" t="str">
        <f aca="true">IF(OR(C291="",AH291="Closed",AH291="Void – logged in error",AG291=""),"",IF(AG291&lt;TODAY(),"OVERDUE",IF(AG291-TODAY()&lt;='Start here'!$C$8,"Due soon","On track")))</f>
        <v/>
      </c>
      <c r="AJ291" s="29"/>
      <c r="AK291" s="29"/>
      <c r="AL291" s="30"/>
      <c r="AM291" s="37" t="str">
        <f aca="false">IF(AND(C291&lt;&gt;"",AH291&lt;&gt;"Closed",AH291&lt;&gt;"Void – logged in error",OR(AH291&lt;&gt;"",AD291&lt;&gt;"",AE291&lt;&gt;"",AF291&lt;&gt;"",AG291&lt;&gt;"")),ROW(),"")</f>
        <v/>
      </c>
    </row>
    <row r="292" customFormat="false" ht="30" hidden="false" customHeight="true" outlineLevel="0" collapsed="false">
      <c r="A292" s="28" t="str">
        <f aca="false">IF(C292="","","INC-"&amp;YEAR(C292)&amp;"-"&amp;TEXT(COUNTIFS($C$6:C292,"&gt;="&amp;DATE(YEAR(C292),1,1),$C$6:C292,"&lt;="&amp;DATE(YEAR(C292),12,31)),"000"))</f>
        <v/>
      </c>
      <c r="B292" s="29"/>
      <c r="C292" s="30"/>
      <c r="D292" s="31"/>
      <c r="E292" s="30"/>
      <c r="F292" s="29"/>
      <c r="G292" s="29"/>
      <c r="H292" s="29"/>
      <c r="I292" s="29"/>
      <c r="J292" s="29"/>
      <c r="K292" s="29"/>
      <c r="L292" s="29"/>
      <c r="M292" s="29"/>
      <c r="N292" s="29"/>
      <c r="O292" s="29"/>
      <c r="P292" s="29"/>
      <c r="Q292" s="32"/>
      <c r="R292" s="29"/>
      <c r="S292" s="29"/>
      <c r="T292" s="33" t="str">
        <f aca="false">IF(AH292="Void – logged in error","",IF(OR(C292="",S292=""),IF(C292="","","Decide"),IF(OR(S292="Not reportable",S292="Over-3-day injury (record only)"),"No","Yes")))</f>
        <v/>
      </c>
      <c r="U292" s="34" t="str">
        <f aca="false">IF(OR(C292="",S292=""),"",IF(S292="Over-7-day injury",C292+15,IF(OR(S292="Death",S292="Specified injury",S292="Member of public to hospital",S292="Dangerous occurrence"),C292+10,"")))</f>
        <v/>
      </c>
      <c r="V292" s="28" t="str">
        <f aca="true">IF(C292="","",IF(AH292="Void – logged in error","Void",IF(W292&lt;&gt;"","Done – reported",IF(S292="Occupational disease","REPORT NOW – on diagnosis",IF(ISNUMBER(U292),IF(U292&lt;TODAY(),"OVERDUE – report now",IF(U292=TODAY(),"DUE TODAY",IF(U292-TODAY()&lt;='Start here'!$C$7,"DUE in "&amp;(U292-TODAY())&amp;" days",IF(OR(S292="Death",S292="Specified injury",S292="Member of public to hospital",S292="Dangerous occurrence"),"REPORT without delay","Report by date shown")))),IF(AND(N(Q292)&gt;7,OR(S292="",S292="Not reportable",S292="Over-3-day injury (record only)")),"CHECK – over 7 days off",IF(S292="","Decide RIDDOR",IF(S292="Over-3-day injury (record only)","Record only","Not reportable"))))))))</f>
        <v/>
      </c>
      <c r="W292" s="30"/>
      <c r="X292" s="29"/>
      <c r="Y292" s="32"/>
      <c r="Z292" s="29"/>
      <c r="AA292" s="35"/>
      <c r="AB292" s="29"/>
      <c r="AC292" s="29"/>
      <c r="AD292" s="29"/>
      <c r="AE292" s="29"/>
      <c r="AF292" s="29"/>
      <c r="AG292" s="30"/>
      <c r="AH292" s="29"/>
      <c r="AI292" s="36" t="str">
        <f aca="true">IF(OR(C292="",AH292="Closed",AH292="Void – logged in error",AG292=""),"",IF(AG292&lt;TODAY(),"OVERDUE",IF(AG292-TODAY()&lt;='Start here'!$C$8,"Due soon","On track")))</f>
        <v/>
      </c>
      <c r="AJ292" s="29"/>
      <c r="AK292" s="29"/>
      <c r="AL292" s="30"/>
      <c r="AM292" s="37" t="str">
        <f aca="false">IF(AND(C292&lt;&gt;"",AH292&lt;&gt;"Closed",AH292&lt;&gt;"Void – logged in error",OR(AH292&lt;&gt;"",AD292&lt;&gt;"",AE292&lt;&gt;"",AF292&lt;&gt;"",AG292&lt;&gt;"")),ROW(),"")</f>
        <v/>
      </c>
    </row>
    <row r="293" customFormat="false" ht="30" hidden="false" customHeight="true" outlineLevel="0" collapsed="false">
      <c r="A293" s="28" t="str">
        <f aca="false">IF(C293="","","INC-"&amp;YEAR(C293)&amp;"-"&amp;TEXT(COUNTIFS($C$6:C293,"&gt;="&amp;DATE(YEAR(C293),1,1),$C$6:C293,"&lt;="&amp;DATE(YEAR(C293),12,31)),"000"))</f>
        <v/>
      </c>
      <c r="B293" s="29"/>
      <c r="C293" s="30"/>
      <c r="D293" s="31"/>
      <c r="E293" s="30"/>
      <c r="F293" s="29"/>
      <c r="G293" s="29"/>
      <c r="H293" s="29"/>
      <c r="I293" s="29"/>
      <c r="J293" s="29"/>
      <c r="K293" s="29"/>
      <c r="L293" s="29"/>
      <c r="M293" s="29"/>
      <c r="N293" s="29"/>
      <c r="O293" s="29"/>
      <c r="P293" s="29"/>
      <c r="Q293" s="32"/>
      <c r="R293" s="29"/>
      <c r="S293" s="29"/>
      <c r="T293" s="33" t="str">
        <f aca="false">IF(AH293="Void – logged in error","",IF(OR(C293="",S293=""),IF(C293="","","Decide"),IF(OR(S293="Not reportable",S293="Over-3-day injury (record only)"),"No","Yes")))</f>
        <v/>
      </c>
      <c r="U293" s="34" t="str">
        <f aca="false">IF(OR(C293="",S293=""),"",IF(S293="Over-7-day injury",C293+15,IF(OR(S293="Death",S293="Specified injury",S293="Member of public to hospital",S293="Dangerous occurrence"),C293+10,"")))</f>
        <v/>
      </c>
      <c r="V293" s="28" t="str">
        <f aca="true">IF(C293="","",IF(AH293="Void – logged in error","Void",IF(W293&lt;&gt;"","Done – reported",IF(S293="Occupational disease","REPORT NOW – on diagnosis",IF(ISNUMBER(U293),IF(U293&lt;TODAY(),"OVERDUE – report now",IF(U293=TODAY(),"DUE TODAY",IF(U293-TODAY()&lt;='Start here'!$C$7,"DUE in "&amp;(U293-TODAY())&amp;" days",IF(OR(S293="Death",S293="Specified injury",S293="Member of public to hospital",S293="Dangerous occurrence"),"REPORT without delay","Report by date shown")))),IF(AND(N(Q293)&gt;7,OR(S293="",S293="Not reportable",S293="Over-3-day injury (record only)")),"CHECK – over 7 days off",IF(S293="","Decide RIDDOR",IF(S293="Over-3-day injury (record only)","Record only","Not reportable"))))))))</f>
        <v/>
      </c>
      <c r="W293" s="30"/>
      <c r="X293" s="29"/>
      <c r="Y293" s="32"/>
      <c r="Z293" s="29"/>
      <c r="AA293" s="35"/>
      <c r="AB293" s="29"/>
      <c r="AC293" s="29"/>
      <c r="AD293" s="29"/>
      <c r="AE293" s="29"/>
      <c r="AF293" s="29"/>
      <c r="AG293" s="30"/>
      <c r="AH293" s="29"/>
      <c r="AI293" s="36" t="str">
        <f aca="true">IF(OR(C293="",AH293="Closed",AH293="Void – logged in error",AG293=""),"",IF(AG293&lt;TODAY(),"OVERDUE",IF(AG293-TODAY()&lt;='Start here'!$C$8,"Due soon","On track")))</f>
        <v/>
      </c>
      <c r="AJ293" s="29"/>
      <c r="AK293" s="29"/>
      <c r="AL293" s="30"/>
      <c r="AM293" s="37" t="str">
        <f aca="false">IF(AND(C293&lt;&gt;"",AH293&lt;&gt;"Closed",AH293&lt;&gt;"Void – logged in error",OR(AH293&lt;&gt;"",AD293&lt;&gt;"",AE293&lt;&gt;"",AF293&lt;&gt;"",AG293&lt;&gt;"")),ROW(),"")</f>
        <v/>
      </c>
    </row>
    <row r="294" customFormat="false" ht="30" hidden="false" customHeight="true" outlineLevel="0" collapsed="false">
      <c r="A294" s="28" t="str">
        <f aca="false">IF(C294="","","INC-"&amp;YEAR(C294)&amp;"-"&amp;TEXT(COUNTIFS($C$6:C294,"&gt;="&amp;DATE(YEAR(C294),1,1),$C$6:C294,"&lt;="&amp;DATE(YEAR(C294),12,31)),"000"))</f>
        <v/>
      </c>
      <c r="B294" s="29"/>
      <c r="C294" s="30"/>
      <c r="D294" s="31"/>
      <c r="E294" s="30"/>
      <c r="F294" s="29"/>
      <c r="G294" s="29"/>
      <c r="H294" s="29"/>
      <c r="I294" s="29"/>
      <c r="J294" s="29"/>
      <c r="K294" s="29"/>
      <c r="L294" s="29"/>
      <c r="M294" s="29"/>
      <c r="N294" s="29"/>
      <c r="O294" s="29"/>
      <c r="P294" s="29"/>
      <c r="Q294" s="32"/>
      <c r="R294" s="29"/>
      <c r="S294" s="29"/>
      <c r="T294" s="33" t="str">
        <f aca="false">IF(AH294="Void – logged in error","",IF(OR(C294="",S294=""),IF(C294="","","Decide"),IF(OR(S294="Not reportable",S294="Over-3-day injury (record only)"),"No","Yes")))</f>
        <v/>
      </c>
      <c r="U294" s="34" t="str">
        <f aca="false">IF(OR(C294="",S294=""),"",IF(S294="Over-7-day injury",C294+15,IF(OR(S294="Death",S294="Specified injury",S294="Member of public to hospital",S294="Dangerous occurrence"),C294+10,"")))</f>
        <v/>
      </c>
      <c r="V294" s="28" t="str">
        <f aca="true">IF(C294="","",IF(AH294="Void – logged in error","Void",IF(W294&lt;&gt;"","Done – reported",IF(S294="Occupational disease","REPORT NOW – on diagnosis",IF(ISNUMBER(U294),IF(U294&lt;TODAY(),"OVERDUE – report now",IF(U294=TODAY(),"DUE TODAY",IF(U294-TODAY()&lt;='Start here'!$C$7,"DUE in "&amp;(U294-TODAY())&amp;" days",IF(OR(S294="Death",S294="Specified injury",S294="Member of public to hospital",S294="Dangerous occurrence"),"REPORT without delay","Report by date shown")))),IF(AND(N(Q294)&gt;7,OR(S294="",S294="Not reportable",S294="Over-3-day injury (record only)")),"CHECK – over 7 days off",IF(S294="","Decide RIDDOR",IF(S294="Over-3-day injury (record only)","Record only","Not reportable"))))))))</f>
        <v/>
      </c>
      <c r="W294" s="30"/>
      <c r="X294" s="29"/>
      <c r="Y294" s="32"/>
      <c r="Z294" s="29"/>
      <c r="AA294" s="35"/>
      <c r="AB294" s="29"/>
      <c r="AC294" s="29"/>
      <c r="AD294" s="29"/>
      <c r="AE294" s="29"/>
      <c r="AF294" s="29"/>
      <c r="AG294" s="30"/>
      <c r="AH294" s="29"/>
      <c r="AI294" s="36" t="str">
        <f aca="true">IF(OR(C294="",AH294="Closed",AH294="Void – logged in error",AG294=""),"",IF(AG294&lt;TODAY(),"OVERDUE",IF(AG294-TODAY()&lt;='Start here'!$C$8,"Due soon","On track")))</f>
        <v/>
      </c>
      <c r="AJ294" s="29"/>
      <c r="AK294" s="29"/>
      <c r="AL294" s="30"/>
      <c r="AM294" s="37" t="str">
        <f aca="false">IF(AND(C294&lt;&gt;"",AH294&lt;&gt;"Closed",AH294&lt;&gt;"Void – logged in error",OR(AH294&lt;&gt;"",AD294&lt;&gt;"",AE294&lt;&gt;"",AF294&lt;&gt;"",AG294&lt;&gt;"")),ROW(),"")</f>
        <v/>
      </c>
    </row>
    <row r="295" customFormat="false" ht="30" hidden="false" customHeight="true" outlineLevel="0" collapsed="false">
      <c r="A295" s="28" t="str">
        <f aca="false">IF(C295="","","INC-"&amp;YEAR(C295)&amp;"-"&amp;TEXT(COUNTIFS($C$6:C295,"&gt;="&amp;DATE(YEAR(C295),1,1),$C$6:C295,"&lt;="&amp;DATE(YEAR(C295),12,31)),"000"))</f>
        <v/>
      </c>
      <c r="B295" s="29"/>
      <c r="C295" s="30"/>
      <c r="D295" s="31"/>
      <c r="E295" s="30"/>
      <c r="F295" s="29"/>
      <c r="G295" s="29"/>
      <c r="H295" s="29"/>
      <c r="I295" s="29"/>
      <c r="J295" s="29"/>
      <c r="K295" s="29"/>
      <c r="L295" s="29"/>
      <c r="M295" s="29"/>
      <c r="N295" s="29"/>
      <c r="O295" s="29"/>
      <c r="P295" s="29"/>
      <c r="Q295" s="32"/>
      <c r="R295" s="29"/>
      <c r="S295" s="29"/>
      <c r="T295" s="33" t="str">
        <f aca="false">IF(AH295="Void – logged in error","",IF(OR(C295="",S295=""),IF(C295="","","Decide"),IF(OR(S295="Not reportable",S295="Over-3-day injury (record only)"),"No","Yes")))</f>
        <v/>
      </c>
      <c r="U295" s="34" t="str">
        <f aca="false">IF(OR(C295="",S295=""),"",IF(S295="Over-7-day injury",C295+15,IF(OR(S295="Death",S295="Specified injury",S295="Member of public to hospital",S295="Dangerous occurrence"),C295+10,"")))</f>
        <v/>
      </c>
      <c r="V295" s="28" t="str">
        <f aca="true">IF(C295="","",IF(AH295="Void – logged in error","Void",IF(W295&lt;&gt;"","Done – reported",IF(S295="Occupational disease","REPORT NOW – on diagnosis",IF(ISNUMBER(U295),IF(U295&lt;TODAY(),"OVERDUE – report now",IF(U295=TODAY(),"DUE TODAY",IF(U295-TODAY()&lt;='Start here'!$C$7,"DUE in "&amp;(U295-TODAY())&amp;" days",IF(OR(S295="Death",S295="Specified injury",S295="Member of public to hospital",S295="Dangerous occurrence"),"REPORT without delay","Report by date shown")))),IF(AND(N(Q295)&gt;7,OR(S295="",S295="Not reportable",S295="Over-3-day injury (record only)")),"CHECK – over 7 days off",IF(S295="","Decide RIDDOR",IF(S295="Over-3-day injury (record only)","Record only","Not reportable"))))))))</f>
        <v/>
      </c>
      <c r="W295" s="30"/>
      <c r="X295" s="29"/>
      <c r="Y295" s="32"/>
      <c r="Z295" s="29"/>
      <c r="AA295" s="35"/>
      <c r="AB295" s="29"/>
      <c r="AC295" s="29"/>
      <c r="AD295" s="29"/>
      <c r="AE295" s="29"/>
      <c r="AF295" s="29"/>
      <c r="AG295" s="30"/>
      <c r="AH295" s="29"/>
      <c r="AI295" s="36" t="str">
        <f aca="true">IF(OR(C295="",AH295="Closed",AH295="Void – logged in error",AG295=""),"",IF(AG295&lt;TODAY(),"OVERDUE",IF(AG295-TODAY()&lt;='Start here'!$C$8,"Due soon","On track")))</f>
        <v/>
      </c>
      <c r="AJ295" s="29"/>
      <c r="AK295" s="29"/>
      <c r="AL295" s="30"/>
      <c r="AM295" s="37" t="str">
        <f aca="false">IF(AND(C295&lt;&gt;"",AH295&lt;&gt;"Closed",AH295&lt;&gt;"Void – logged in error",OR(AH295&lt;&gt;"",AD295&lt;&gt;"",AE295&lt;&gt;"",AF295&lt;&gt;"",AG295&lt;&gt;"")),ROW(),"")</f>
        <v/>
      </c>
    </row>
    <row r="296" customFormat="false" ht="30" hidden="false" customHeight="true" outlineLevel="0" collapsed="false">
      <c r="A296" s="28" t="str">
        <f aca="false">IF(C296="","","INC-"&amp;YEAR(C296)&amp;"-"&amp;TEXT(COUNTIFS($C$6:C296,"&gt;="&amp;DATE(YEAR(C296),1,1),$C$6:C296,"&lt;="&amp;DATE(YEAR(C296),12,31)),"000"))</f>
        <v/>
      </c>
      <c r="B296" s="29"/>
      <c r="C296" s="30"/>
      <c r="D296" s="31"/>
      <c r="E296" s="30"/>
      <c r="F296" s="29"/>
      <c r="G296" s="29"/>
      <c r="H296" s="29"/>
      <c r="I296" s="29"/>
      <c r="J296" s="29"/>
      <c r="K296" s="29"/>
      <c r="L296" s="29"/>
      <c r="M296" s="29"/>
      <c r="N296" s="29"/>
      <c r="O296" s="29"/>
      <c r="P296" s="29"/>
      <c r="Q296" s="32"/>
      <c r="R296" s="29"/>
      <c r="S296" s="29"/>
      <c r="T296" s="33" t="str">
        <f aca="false">IF(AH296="Void – logged in error","",IF(OR(C296="",S296=""),IF(C296="","","Decide"),IF(OR(S296="Not reportable",S296="Over-3-day injury (record only)"),"No","Yes")))</f>
        <v/>
      </c>
      <c r="U296" s="34" t="str">
        <f aca="false">IF(OR(C296="",S296=""),"",IF(S296="Over-7-day injury",C296+15,IF(OR(S296="Death",S296="Specified injury",S296="Member of public to hospital",S296="Dangerous occurrence"),C296+10,"")))</f>
        <v/>
      </c>
      <c r="V296" s="28" t="str">
        <f aca="true">IF(C296="","",IF(AH296="Void – logged in error","Void",IF(W296&lt;&gt;"","Done – reported",IF(S296="Occupational disease","REPORT NOW – on diagnosis",IF(ISNUMBER(U296),IF(U296&lt;TODAY(),"OVERDUE – report now",IF(U296=TODAY(),"DUE TODAY",IF(U296-TODAY()&lt;='Start here'!$C$7,"DUE in "&amp;(U296-TODAY())&amp;" days",IF(OR(S296="Death",S296="Specified injury",S296="Member of public to hospital",S296="Dangerous occurrence"),"REPORT without delay","Report by date shown")))),IF(AND(N(Q296)&gt;7,OR(S296="",S296="Not reportable",S296="Over-3-day injury (record only)")),"CHECK – over 7 days off",IF(S296="","Decide RIDDOR",IF(S296="Over-3-day injury (record only)","Record only","Not reportable"))))))))</f>
        <v/>
      </c>
      <c r="W296" s="30"/>
      <c r="X296" s="29"/>
      <c r="Y296" s="32"/>
      <c r="Z296" s="29"/>
      <c r="AA296" s="35"/>
      <c r="AB296" s="29"/>
      <c r="AC296" s="29"/>
      <c r="AD296" s="29"/>
      <c r="AE296" s="29"/>
      <c r="AF296" s="29"/>
      <c r="AG296" s="30"/>
      <c r="AH296" s="29"/>
      <c r="AI296" s="36" t="str">
        <f aca="true">IF(OR(C296="",AH296="Closed",AH296="Void – logged in error",AG296=""),"",IF(AG296&lt;TODAY(),"OVERDUE",IF(AG296-TODAY()&lt;='Start here'!$C$8,"Due soon","On track")))</f>
        <v/>
      </c>
      <c r="AJ296" s="29"/>
      <c r="AK296" s="29"/>
      <c r="AL296" s="30"/>
      <c r="AM296" s="37" t="str">
        <f aca="false">IF(AND(C296&lt;&gt;"",AH296&lt;&gt;"Closed",AH296&lt;&gt;"Void – logged in error",OR(AH296&lt;&gt;"",AD296&lt;&gt;"",AE296&lt;&gt;"",AF296&lt;&gt;"",AG296&lt;&gt;"")),ROW(),"")</f>
        <v/>
      </c>
    </row>
    <row r="297" customFormat="false" ht="30" hidden="false" customHeight="true" outlineLevel="0" collapsed="false">
      <c r="A297" s="28" t="str">
        <f aca="false">IF(C297="","","INC-"&amp;YEAR(C297)&amp;"-"&amp;TEXT(COUNTIFS($C$6:C297,"&gt;="&amp;DATE(YEAR(C297),1,1),$C$6:C297,"&lt;="&amp;DATE(YEAR(C297),12,31)),"000"))</f>
        <v/>
      </c>
      <c r="B297" s="29"/>
      <c r="C297" s="30"/>
      <c r="D297" s="31"/>
      <c r="E297" s="30"/>
      <c r="F297" s="29"/>
      <c r="G297" s="29"/>
      <c r="H297" s="29"/>
      <c r="I297" s="29"/>
      <c r="J297" s="29"/>
      <c r="K297" s="29"/>
      <c r="L297" s="29"/>
      <c r="M297" s="29"/>
      <c r="N297" s="29"/>
      <c r="O297" s="29"/>
      <c r="P297" s="29"/>
      <c r="Q297" s="32"/>
      <c r="R297" s="29"/>
      <c r="S297" s="29"/>
      <c r="T297" s="33" t="str">
        <f aca="false">IF(AH297="Void – logged in error","",IF(OR(C297="",S297=""),IF(C297="","","Decide"),IF(OR(S297="Not reportable",S297="Over-3-day injury (record only)"),"No","Yes")))</f>
        <v/>
      </c>
      <c r="U297" s="34" t="str">
        <f aca="false">IF(OR(C297="",S297=""),"",IF(S297="Over-7-day injury",C297+15,IF(OR(S297="Death",S297="Specified injury",S297="Member of public to hospital",S297="Dangerous occurrence"),C297+10,"")))</f>
        <v/>
      </c>
      <c r="V297" s="28" t="str">
        <f aca="true">IF(C297="","",IF(AH297="Void – logged in error","Void",IF(W297&lt;&gt;"","Done – reported",IF(S297="Occupational disease","REPORT NOW – on diagnosis",IF(ISNUMBER(U297),IF(U297&lt;TODAY(),"OVERDUE – report now",IF(U297=TODAY(),"DUE TODAY",IF(U297-TODAY()&lt;='Start here'!$C$7,"DUE in "&amp;(U297-TODAY())&amp;" days",IF(OR(S297="Death",S297="Specified injury",S297="Member of public to hospital",S297="Dangerous occurrence"),"REPORT without delay","Report by date shown")))),IF(AND(N(Q297)&gt;7,OR(S297="",S297="Not reportable",S297="Over-3-day injury (record only)")),"CHECK – over 7 days off",IF(S297="","Decide RIDDOR",IF(S297="Over-3-day injury (record only)","Record only","Not reportable"))))))))</f>
        <v/>
      </c>
      <c r="W297" s="30"/>
      <c r="X297" s="29"/>
      <c r="Y297" s="32"/>
      <c r="Z297" s="29"/>
      <c r="AA297" s="35"/>
      <c r="AB297" s="29"/>
      <c r="AC297" s="29"/>
      <c r="AD297" s="29"/>
      <c r="AE297" s="29"/>
      <c r="AF297" s="29"/>
      <c r="AG297" s="30"/>
      <c r="AH297" s="29"/>
      <c r="AI297" s="36" t="str">
        <f aca="true">IF(OR(C297="",AH297="Closed",AH297="Void – logged in error",AG297=""),"",IF(AG297&lt;TODAY(),"OVERDUE",IF(AG297-TODAY()&lt;='Start here'!$C$8,"Due soon","On track")))</f>
        <v/>
      </c>
      <c r="AJ297" s="29"/>
      <c r="AK297" s="29"/>
      <c r="AL297" s="30"/>
      <c r="AM297" s="37" t="str">
        <f aca="false">IF(AND(C297&lt;&gt;"",AH297&lt;&gt;"Closed",AH297&lt;&gt;"Void – logged in error",OR(AH297&lt;&gt;"",AD297&lt;&gt;"",AE297&lt;&gt;"",AF297&lt;&gt;"",AG297&lt;&gt;"")),ROW(),"")</f>
        <v/>
      </c>
    </row>
    <row r="298" customFormat="false" ht="30" hidden="false" customHeight="true" outlineLevel="0" collapsed="false">
      <c r="A298" s="28" t="str">
        <f aca="false">IF(C298="","","INC-"&amp;YEAR(C298)&amp;"-"&amp;TEXT(COUNTIFS($C$6:C298,"&gt;="&amp;DATE(YEAR(C298),1,1),$C$6:C298,"&lt;="&amp;DATE(YEAR(C298),12,31)),"000"))</f>
        <v/>
      </c>
      <c r="B298" s="29"/>
      <c r="C298" s="30"/>
      <c r="D298" s="31"/>
      <c r="E298" s="30"/>
      <c r="F298" s="29"/>
      <c r="G298" s="29"/>
      <c r="H298" s="29"/>
      <c r="I298" s="29"/>
      <c r="J298" s="29"/>
      <c r="K298" s="29"/>
      <c r="L298" s="29"/>
      <c r="M298" s="29"/>
      <c r="N298" s="29"/>
      <c r="O298" s="29"/>
      <c r="P298" s="29"/>
      <c r="Q298" s="32"/>
      <c r="R298" s="29"/>
      <c r="S298" s="29"/>
      <c r="T298" s="33" t="str">
        <f aca="false">IF(AH298="Void – logged in error","",IF(OR(C298="",S298=""),IF(C298="","","Decide"),IF(OR(S298="Not reportable",S298="Over-3-day injury (record only)"),"No","Yes")))</f>
        <v/>
      </c>
      <c r="U298" s="34" t="str">
        <f aca="false">IF(OR(C298="",S298=""),"",IF(S298="Over-7-day injury",C298+15,IF(OR(S298="Death",S298="Specified injury",S298="Member of public to hospital",S298="Dangerous occurrence"),C298+10,"")))</f>
        <v/>
      </c>
      <c r="V298" s="28" t="str">
        <f aca="true">IF(C298="","",IF(AH298="Void – logged in error","Void",IF(W298&lt;&gt;"","Done – reported",IF(S298="Occupational disease","REPORT NOW – on diagnosis",IF(ISNUMBER(U298),IF(U298&lt;TODAY(),"OVERDUE – report now",IF(U298=TODAY(),"DUE TODAY",IF(U298-TODAY()&lt;='Start here'!$C$7,"DUE in "&amp;(U298-TODAY())&amp;" days",IF(OR(S298="Death",S298="Specified injury",S298="Member of public to hospital",S298="Dangerous occurrence"),"REPORT without delay","Report by date shown")))),IF(AND(N(Q298)&gt;7,OR(S298="",S298="Not reportable",S298="Over-3-day injury (record only)")),"CHECK – over 7 days off",IF(S298="","Decide RIDDOR",IF(S298="Over-3-day injury (record only)","Record only","Not reportable"))))))))</f>
        <v/>
      </c>
      <c r="W298" s="30"/>
      <c r="X298" s="29"/>
      <c r="Y298" s="32"/>
      <c r="Z298" s="29"/>
      <c r="AA298" s="35"/>
      <c r="AB298" s="29"/>
      <c r="AC298" s="29"/>
      <c r="AD298" s="29"/>
      <c r="AE298" s="29"/>
      <c r="AF298" s="29"/>
      <c r="AG298" s="30"/>
      <c r="AH298" s="29"/>
      <c r="AI298" s="36" t="str">
        <f aca="true">IF(OR(C298="",AH298="Closed",AH298="Void – logged in error",AG298=""),"",IF(AG298&lt;TODAY(),"OVERDUE",IF(AG298-TODAY()&lt;='Start here'!$C$8,"Due soon","On track")))</f>
        <v/>
      </c>
      <c r="AJ298" s="29"/>
      <c r="AK298" s="29"/>
      <c r="AL298" s="30"/>
      <c r="AM298" s="37" t="str">
        <f aca="false">IF(AND(C298&lt;&gt;"",AH298&lt;&gt;"Closed",AH298&lt;&gt;"Void – logged in error",OR(AH298&lt;&gt;"",AD298&lt;&gt;"",AE298&lt;&gt;"",AF298&lt;&gt;"",AG298&lt;&gt;"")),ROW(),"")</f>
        <v/>
      </c>
    </row>
    <row r="299" customFormat="false" ht="30" hidden="false" customHeight="true" outlineLevel="0" collapsed="false">
      <c r="A299" s="28" t="str">
        <f aca="false">IF(C299="","","INC-"&amp;YEAR(C299)&amp;"-"&amp;TEXT(COUNTIFS($C$6:C299,"&gt;="&amp;DATE(YEAR(C299),1,1),$C$6:C299,"&lt;="&amp;DATE(YEAR(C299),12,31)),"000"))</f>
        <v/>
      </c>
      <c r="B299" s="29"/>
      <c r="C299" s="30"/>
      <c r="D299" s="31"/>
      <c r="E299" s="30"/>
      <c r="F299" s="29"/>
      <c r="G299" s="29"/>
      <c r="H299" s="29"/>
      <c r="I299" s="29"/>
      <c r="J299" s="29"/>
      <c r="K299" s="29"/>
      <c r="L299" s="29"/>
      <c r="M299" s="29"/>
      <c r="N299" s="29"/>
      <c r="O299" s="29"/>
      <c r="P299" s="29"/>
      <c r="Q299" s="32"/>
      <c r="R299" s="29"/>
      <c r="S299" s="29"/>
      <c r="T299" s="33" t="str">
        <f aca="false">IF(AH299="Void – logged in error","",IF(OR(C299="",S299=""),IF(C299="","","Decide"),IF(OR(S299="Not reportable",S299="Over-3-day injury (record only)"),"No","Yes")))</f>
        <v/>
      </c>
      <c r="U299" s="34" t="str">
        <f aca="false">IF(OR(C299="",S299=""),"",IF(S299="Over-7-day injury",C299+15,IF(OR(S299="Death",S299="Specified injury",S299="Member of public to hospital",S299="Dangerous occurrence"),C299+10,"")))</f>
        <v/>
      </c>
      <c r="V299" s="28" t="str">
        <f aca="true">IF(C299="","",IF(AH299="Void – logged in error","Void",IF(W299&lt;&gt;"","Done – reported",IF(S299="Occupational disease","REPORT NOW – on diagnosis",IF(ISNUMBER(U299),IF(U299&lt;TODAY(),"OVERDUE – report now",IF(U299=TODAY(),"DUE TODAY",IF(U299-TODAY()&lt;='Start here'!$C$7,"DUE in "&amp;(U299-TODAY())&amp;" days",IF(OR(S299="Death",S299="Specified injury",S299="Member of public to hospital",S299="Dangerous occurrence"),"REPORT without delay","Report by date shown")))),IF(AND(N(Q299)&gt;7,OR(S299="",S299="Not reportable",S299="Over-3-day injury (record only)")),"CHECK – over 7 days off",IF(S299="","Decide RIDDOR",IF(S299="Over-3-day injury (record only)","Record only","Not reportable"))))))))</f>
        <v/>
      </c>
      <c r="W299" s="30"/>
      <c r="X299" s="29"/>
      <c r="Y299" s="32"/>
      <c r="Z299" s="29"/>
      <c r="AA299" s="35"/>
      <c r="AB299" s="29"/>
      <c r="AC299" s="29"/>
      <c r="AD299" s="29"/>
      <c r="AE299" s="29"/>
      <c r="AF299" s="29"/>
      <c r="AG299" s="30"/>
      <c r="AH299" s="29"/>
      <c r="AI299" s="36" t="str">
        <f aca="true">IF(OR(C299="",AH299="Closed",AH299="Void – logged in error",AG299=""),"",IF(AG299&lt;TODAY(),"OVERDUE",IF(AG299-TODAY()&lt;='Start here'!$C$8,"Due soon","On track")))</f>
        <v/>
      </c>
      <c r="AJ299" s="29"/>
      <c r="AK299" s="29"/>
      <c r="AL299" s="30"/>
      <c r="AM299" s="37" t="str">
        <f aca="false">IF(AND(C299&lt;&gt;"",AH299&lt;&gt;"Closed",AH299&lt;&gt;"Void – logged in error",OR(AH299&lt;&gt;"",AD299&lt;&gt;"",AE299&lt;&gt;"",AF299&lt;&gt;"",AG299&lt;&gt;"")),ROW(),"")</f>
        <v/>
      </c>
    </row>
    <row r="300" customFormat="false" ht="30" hidden="false" customHeight="true" outlineLevel="0" collapsed="false">
      <c r="A300" s="28" t="str">
        <f aca="false">IF(C300="","","INC-"&amp;YEAR(C300)&amp;"-"&amp;TEXT(COUNTIFS($C$6:C300,"&gt;="&amp;DATE(YEAR(C300),1,1),$C$6:C300,"&lt;="&amp;DATE(YEAR(C300),12,31)),"000"))</f>
        <v/>
      </c>
      <c r="B300" s="29"/>
      <c r="C300" s="30"/>
      <c r="D300" s="31"/>
      <c r="E300" s="30"/>
      <c r="F300" s="29"/>
      <c r="G300" s="29"/>
      <c r="H300" s="29"/>
      <c r="I300" s="29"/>
      <c r="J300" s="29"/>
      <c r="K300" s="29"/>
      <c r="L300" s="29"/>
      <c r="M300" s="29"/>
      <c r="N300" s="29"/>
      <c r="O300" s="29"/>
      <c r="P300" s="29"/>
      <c r="Q300" s="32"/>
      <c r="R300" s="29"/>
      <c r="S300" s="29"/>
      <c r="T300" s="33" t="str">
        <f aca="false">IF(AH300="Void – logged in error","",IF(OR(C300="",S300=""),IF(C300="","","Decide"),IF(OR(S300="Not reportable",S300="Over-3-day injury (record only)"),"No","Yes")))</f>
        <v/>
      </c>
      <c r="U300" s="34" t="str">
        <f aca="false">IF(OR(C300="",S300=""),"",IF(S300="Over-7-day injury",C300+15,IF(OR(S300="Death",S300="Specified injury",S300="Member of public to hospital",S300="Dangerous occurrence"),C300+10,"")))</f>
        <v/>
      </c>
      <c r="V300" s="28" t="str">
        <f aca="true">IF(C300="","",IF(AH300="Void – logged in error","Void",IF(W300&lt;&gt;"","Done – reported",IF(S300="Occupational disease","REPORT NOW – on diagnosis",IF(ISNUMBER(U300),IF(U300&lt;TODAY(),"OVERDUE – report now",IF(U300=TODAY(),"DUE TODAY",IF(U300-TODAY()&lt;='Start here'!$C$7,"DUE in "&amp;(U300-TODAY())&amp;" days",IF(OR(S300="Death",S300="Specified injury",S300="Member of public to hospital",S300="Dangerous occurrence"),"REPORT without delay","Report by date shown")))),IF(AND(N(Q300)&gt;7,OR(S300="",S300="Not reportable",S300="Over-3-day injury (record only)")),"CHECK – over 7 days off",IF(S300="","Decide RIDDOR",IF(S300="Over-3-day injury (record only)","Record only","Not reportable"))))))))</f>
        <v/>
      </c>
      <c r="W300" s="30"/>
      <c r="X300" s="29"/>
      <c r="Y300" s="32"/>
      <c r="Z300" s="29"/>
      <c r="AA300" s="35"/>
      <c r="AB300" s="29"/>
      <c r="AC300" s="29"/>
      <c r="AD300" s="29"/>
      <c r="AE300" s="29"/>
      <c r="AF300" s="29"/>
      <c r="AG300" s="30"/>
      <c r="AH300" s="29"/>
      <c r="AI300" s="36" t="str">
        <f aca="true">IF(OR(C300="",AH300="Closed",AH300="Void – logged in error",AG300=""),"",IF(AG300&lt;TODAY(),"OVERDUE",IF(AG300-TODAY()&lt;='Start here'!$C$8,"Due soon","On track")))</f>
        <v/>
      </c>
      <c r="AJ300" s="29"/>
      <c r="AK300" s="29"/>
      <c r="AL300" s="30"/>
      <c r="AM300" s="37" t="str">
        <f aca="false">IF(AND(C300&lt;&gt;"",AH300&lt;&gt;"Closed",AH300&lt;&gt;"Void – logged in error",OR(AH300&lt;&gt;"",AD300&lt;&gt;"",AE300&lt;&gt;"",AF300&lt;&gt;"",AG300&lt;&gt;"")),ROW(),"")</f>
        <v/>
      </c>
    </row>
    <row r="301" customFormat="false" ht="30" hidden="false" customHeight="true" outlineLevel="0" collapsed="false">
      <c r="A301" s="28" t="str">
        <f aca="false">IF(C301="","","INC-"&amp;YEAR(C301)&amp;"-"&amp;TEXT(COUNTIFS($C$6:C301,"&gt;="&amp;DATE(YEAR(C301),1,1),$C$6:C301,"&lt;="&amp;DATE(YEAR(C301),12,31)),"000"))</f>
        <v/>
      </c>
      <c r="B301" s="29"/>
      <c r="C301" s="30"/>
      <c r="D301" s="31"/>
      <c r="E301" s="30"/>
      <c r="F301" s="29"/>
      <c r="G301" s="29"/>
      <c r="H301" s="29"/>
      <c r="I301" s="29"/>
      <c r="J301" s="29"/>
      <c r="K301" s="29"/>
      <c r="L301" s="29"/>
      <c r="M301" s="29"/>
      <c r="N301" s="29"/>
      <c r="O301" s="29"/>
      <c r="P301" s="29"/>
      <c r="Q301" s="32"/>
      <c r="R301" s="29"/>
      <c r="S301" s="29"/>
      <c r="T301" s="33" t="str">
        <f aca="false">IF(AH301="Void – logged in error","",IF(OR(C301="",S301=""),IF(C301="","","Decide"),IF(OR(S301="Not reportable",S301="Over-3-day injury (record only)"),"No","Yes")))</f>
        <v/>
      </c>
      <c r="U301" s="34" t="str">
        <f aca="false">IF(OR(C301="",S301=""),"",IF(S301="Over-7-day injury",C301+15,IF(OR(S301="Death",S301="Specified injury",S301="Member of public to hospital",S301="Dangerous occurrence"),C301+10,"")))</f>
        <v/>
      </c>
      <c r="V301" s="28" t="str">
        <f aca="true">IF(C301="","",IF(AH301="Void – logged in error","Void",IF(W301&lt;&gt;"","Done – reported",IF(S301="Occupational disease","REPORT NOW – on diagnosis",IF(ISNUMBER(U301),IF(U301&lt;TODAY(),"OVERDUE – report now",IF(U301=TODAY(),"DUE TODAY",IF(U301-TODAY()&lt;='Start here'!$C$7,"DUE in "&amp;(U301-TODAY())&amp;" days",IF(OR(S301="Death",S301="Specified injury",S301="Member of public to hospital",S301="Dangerous occurrence"),"REPORT without delay","Report by date shown")))),IF(AND(N(Q301)&gt;7,OR(S301="",S301="Not reportable",S301="Over-3-day injury (record only)")),"CHECK – over 7 days off",IF(S301="","Decide RIDDOR",IF(S301="Over-3-day injury (record only)","Record only","Not reportable"))))))))</f>
        <v/>
      </c>
      <c r="W301" s="30"/>
      <c r="X301" s="29"/>
      <c r="Y301" s="32"/>
      <c r="Z301" s="29"/>
      <c r="AA301" s="35"/>
      <c r="AB301" s="29"/>
      <c r="AC301" s="29"/>
      <c r="AD301" s="29"/>
      <c r="AE301" s="29"/>
      <c r="AF301" s="29"/>
      <c r="AG301" s="30"/>
      <c r="AH301" s="29"/>
      <c r="AI301" s="36" t="str">
        <f aca="true">IF(OR(C301="",AH301="Closed",AH301="Void – logged in error",AG301=""),"",IF(AG301&lt;TODAY(),"OVERDUE",IF(AG301-TODAY()&lt;='Start here'!$C$8,"Due soon","On track")))</f>
        <v/>
      </c>
      <c r="AJ301" s="29"/>
      <c r="AK301" s="29"/>
      <c r="AL301" s="30"/>
      <c r="AM301" s="37" t="str">
        <f aca="false">IF(AND(C301&lt;&gt;"",AH301&lt;&gt;"Closed",AH301&lt;&gt;"Void – logged in error",OR(AH301&lt;&gt;"",AD301&lt;&gt;"",AE301&lt;&gt;"",AF301&lt;&gt;"",AG301&lt;&gt;"")),ROW(),"")</f>
        <v/>
      </c>
    </row>
    <row r="302" customFormat="false" ht="30" hidden="false" customHeight="true" outlineLevel="0" collapsed="false">
      <c r="A302" s="28" t="str">
        <f aca="false">IF(C302="","","INC-"&amp;YEAR(C302)&amp;"-"&amp;TEXT(COUNTIFS($C$6:C302,"&gt;="&amp;DATE(YEAR(C302),1,1),$C$6:C302,"&lt;="&amp;DATE(YEAR(C302),12,31)),"000"))</f>
        <v/>
      </c>
      <c r="B302" s="29"/>
      <c r="C302" s="30"/>
      <c r="D302" s="31"/>
      <c r="E302" s="30"/>
      <c r="F302" s="29"/>
      <c r="G302" s="29"/>
      <c r="H302" s="29"/>
      <c r="I302" s="29"/>
      <c r="J302" s="29"/>
      <c r="K302" s="29"/>
      <c r="L302" s="29"/>
      <c r="M302" s="29"/>
      <c r="N302" s="29"/>
      <c r="O302" s="29"/>
      <c r="P302" s="29"/>
      <c r="Q302" s="32"/>
      <c r="R302" s="29"/>
      <c r="S302" s="29"/>
      <c r="T302" s="33" t="str">
        <f aca="false">IF(AH302="Void – logged in error","",IF(OR(C302="",S302=""),IF(C302="","","Decide"),IF(OR(S302="Not reportable",S302="Over-3-day injury (record only)"),"No","Yes")))</f>
        <v/>
      </c>
      <c r="U302" s="34" t="str">
        <f aca="false">IF(OR(C302="",S302=""),"",IF(S302="Over-7-day injury",C302+15,IF(OR(S302="Death",S302="Specified injury",S302="Member of public to hospital",S302="Dangerous occurrence"),C302+10,"")))</f>
        <v/>
      </c>
      <c r="V302" s="28" t="str">
        <f aca="true">IF(C302="","",IF(AH302="Void – logged in error","Void",IF(W302&lt;&gt;"","Done – reported",IF(S302="Occupational disease","REPORT NOW – on diagnosis",IF(ISNUMBER(U302),IF(U302&lt;TODAY(),"OVERDUE – report now",IF(U302=TODAY(),"DUE TODAY",IF(U302-TODAY()&lt;='Start here'!$C$7,"DUE in "&amp;(U302-TODAY())&amp;" days",IF(OR(S302="Death",S302="Specified injury",S302="Member of public to hospital",S302="Dangerous occurrence"),"REPORT without delay","Report by date shown")))),IF(AND(N(Q302)&gt;7,OR(S302="",S302="Not reportable",S302="Over-3-day injury (record only)")),"CHECK – over 7 days off",IF(S302="","Decide RIDDOR",IF(S302="Over-3-day injury (record only)","Record only","Not reportable"))))))))</f>
        <v/>
      </c>
      <c r="W302" s="30"/>
      <c r="X302" s="29"/>
      <c r="Y302" s="32"/>
      <c r="Z302" s="29"/>
      <c r="AA302" s="35"/>
      <c r="AB302" s="29"/>
      <c r="AC302" s="29"/>
      <c r="AD302" s="29"/>
      <c r="AE302" s="29"/>
      <c r="AF302" s="29"/>
      <c r="AG302" s="30"/>
      <c r="AH302" s="29"/>
      <c r="AI302" s="36" t="str">
        <f aca="true">IF(OR(C302="",AH302="Closed",AH302="Void – logged in error",AG302=""),"",IF(AG302&lt;TODAY(),"OVERDUE",IF(AG302-TODAY()&lt;='Start here'!$C$8,"Due soon","On track")))</f>
        <v/>
      </c>
      <c r="AJ302" s="29"/>
      <c r="AK302" s="29"/>
      <c r="AL302" s="30"/>
      <c r="AM302" s="37" t="str">
        <f aca="false">IF(AND(C302&lt;&gt;"",AH302&lt;&gt;"Closed",AH302&lt;&gt;"Void – logged in error",OR(AH302&lt;&gt;"",AD302&lt;&gt;"",AE302&lt;&gt;"",AF302&lt;&gt;"",AG302&lt;&gt;"")),ROW(),"")</f>
        <v/>
      </c>
    </row>
    <row r="303" customFormat="false" ht="30" hidden="false" customHeight="true" outlineLevel="0" collapsed="false">
      <c r="A303" s="28" t="str">
        <f aca="false">IF(C303="","","INC-"&amp;YEAR(C303)&amp;"-"&amp;TEXT(COUNTIFS($C$6:C303,"&gt;="&amp;DATE(YEAR(C303),1,1),$C$6:C303,"&lt;="&amp;DATE(YEAR(C303),12,31)),"000"))</f>
        <v/>
      </c>
      <c r="B303" s="29"/>
      <c r="C303" s="30"/>
      <c r="D303" s="31"/>
      <c r="E303" s="30"/>
      <c r="F303" s="29"/>
      <c r="G303" s="29"/>
      <c r="H303" s="29"/>
      <c r="I303" s="29"/>
      <c r="J303" s="29"/>
      <c r="K303" s="29"/>
      <c r="L303" s="29"/>
      <c r="M303" s="29"/>
      <c r="N303" s="29"/>
      <c r="O303" s="29"/>
      <c r="P303" s="29"/>
      <c r="Q303" s="32"/>
      <c r="R303" s="29"/>
      <c r="S303" s="29"/>
      <c r="T303" s="33" t="str">
        <f aca="false">IF(AH303="Void – logged in error","",IF(OR(C303="",S303=""),IF(C303="","","Decide"),IF(OR(S303="Not reportable",S303="Over-3-day injury (record only)"),"No","Yes")))</f>
        <v/>
      </c>
      <c r="U303" s="34" t="str">
        <f aca="false">IF(OR(C303="",S303=""),"",IF(S303="Over-7-day injury",C303+15,IF(OR(S303="Death",S303="Specified injury",S303="Member of public to hospital",S303="Dangerous occurrence"),C303+10,"")))</f>
        <v/>
      </c>
      <c r="V303" s="28" t="str">
        <f aca="true">IF(C303="","",IF(AH303="Void – logged in error","Void",IF(W303&lt;&gt;"","Done – reported",IF(S303="Occupational disease","REPORT NOW – on diagnosis",IF(ISNUMBER(U303),IF(U303&lt;TODAY(),"OVERDUE – report now",IF(U303=TODAY(),"DUE TODAY",IF(U303-TODAY()&lt;='Start here'!$C$7,"DUE in "&amp;(U303-TODAY())&amp;" days",IF(OR(S303="Death",S303="Specified injury",S303="Member of public to hospital",S303="Dangerous occurrence"),"REPORT without delay","Report by date shown")))),IF(AND(N(Q303)&gt;7,OR(S303="",S303="Not reportable",S303="Over-3-day injury (record only)")),"CHECK – over 7 days off",IF(S303="","Decide RIDDOR",IF(S303="Over-3-day injury (record only)","Record only","Not reportable"))))))))</f>
        <v/>
      </c>
      <c r="W303" s="30"/>
      <c r="X303" s="29"/>
      <c r="Y303" s="32"/>
      <c r="Z303" s="29"/>
      <c r="AA303" s="35"/>
      <c r="AB303" s="29"/>
      <c r="AC303" s="29"/>
      <c r="AD303" s="29"/>
      <c r="AE303" s="29"/>
      <c r="AF303" s="29"/>
      <c r="AG303" s="30"/>
      <c r="AH303" s="29"/>
      <c r="AI303" s="36" t="str">
        <f aca="true">IF(OR(C303="",AH303="Closed",AH303="Void – logged in error",AG303=""),"",IF(AG303&lt;TODAY(),"OVERDUE",IF(AG303-TODAY()&lt;='Start here'!$C$8,"Due soon","On track")))</f>
        <v/>
      </c>
      <c r="AJ303" s="29"/>
      <c r="AK303" s="29"/>
      <c r="AL303" s="30"/>
      <c r="AM303" s="37" t="str">
        <f aca="false">IF(AND(C303&lt;&gt;"",AH303&lt;&gt;"Closed",AH303&lt;&gt;"Void – logged in error",OR(AH303&lt;&gt;"",AD303&lt;&gt;"",AE303&lt;&gt;"",AF303&lt;&gt;"",AG303&lt;&gt;"")),ROW(),"")</f>
        <v/>
      </c>
    </row>
    <row r="304" customFormat="false" ht="30" hidden="false" customHeight="true" outlineLevel="0" collapsed="false">
      <c r="A304" s="28" t="str">
        <f aca="false">IF(C304="","","INC-"&amp;YEAR(C304)&amp;"-"&amp;TEXT(COUNTIFS($C$6:C304,"&gt;="&amp;DATE(YEAR(C304),1,1),$C$6:C304,"&lt;="&amp;DATE(YEAR(C304),12,31)),"000"))</f>
        <v/>
      </c>
      <c r="B304" s="29"/>
      <c r="C304" s="30"/>
      <c r="D304" s="31"/>
      <c r="E304" s="30"/>
      <c r="F304" s="29"/>
      <c r="G304" s="29"/>
      <c r="H304" s="29"/>
      <c r="I304" s="29"/>
      <c r="J304" s="29"/>
      <c r="K304" s="29"/>
      <c r="L304" s="29"/>
      <c r="M304" s="29"/>
      <c r="N304" s="29"/>
      <c r="O304" s="29"/>
      <c r="P304" s="29"/>
      <c r="Q304" s="32"/>
      <c r="R304" s="29"/>
      <c r="S304" s="29"/>
      <c r="T304" s="33" t="str">
        <f aca="false">IF(AH304="Void – logged in error","",IF(OR(C304="",S304=""),IF(C304="","","Decide"),IF(OR(S304="Not reportable",S304="Over-3-day injury (record only)"),"No","Yes")))</f>
        <v/>
      </c>
      <c r="U304" s="34" t="str">
        <f aca="false">IF(OR(C304="",S304=""),"",IF(S304="Over-7-day injury",C304+15,IF(OR(S304="Death",S304="Specified injury",S304="Member of public to hospital",S304="Dangerous occurrence"),C304+10,"")))</f>
        <v/>
      </c>
      <c r="V304" s="28" t="str">
        <f aca="true">IF(C304="","",IF(AH304="Void – logged in error","Void",IF(W304&lt;&gt;"","Done – reported",IF(S304="Occupational disease","REPORT NOW – on diagnosis",IF(ISNUMBER(U304),IF(U304&lt;TODAY(),"OVERDUE – report now",IF(U304=TODAY(),"DUE TODAY",IF(U304-TODAY()&lt;='Start here'!$C$7,"DUE in "&amp;(U304-TODAY())&amp;" days",IF(OR(S304="Death",S304="Specified injury",S304="Member of public to hospital",S304="Dangerous occurrence"),"REPORT without delay","Report by date shown")))),IF(AND(N(Q304)&gt;7,OR(S304="",S304="Not reportable",S304="Over-3-day injury (record only)")),"CHECK – over 7 days off",IF(S304="","Decide RIDDOR",IF(S304="Over-3-day injury (record only)","Record only","Not reportable"))))))))</f>
        <v/>
      </c>
      <c r="W304" s="30"/>
      <c r="X304" s="29"/>
      <c r="Y304" s="32"/>
      <c r="Z304" s="29"/>
      <c r="AA304" s="35"/>
      <c r="AB304" s="29"/>
      <c r="AC304" s="29"/>
      <c r="AD304" s="29"/>
      <c r="AE304" s="29"/>
      <c r="AF304" s="29"/>
      <c r="AG304" s="30"/>
      <c r="AH304" s="29"/>
      <c r="AI304" s="36" t="str">
        <f aca="true">IF(OR(C304="",AH304="Closed",AH304="Void – logged in error",AG304=""),"",IF(AG304&lt;TODAY(),"OVERDUE",IF(AG304-TODAY()&lt;='Start here'!$C$8,"Due soon","On track")))</f>
        <v/>
      </c>
      <c r="AJ304" s="29"/>
      <c r="AK304" s="29"/>
      <c r="AL304" s="30"/>
      <c r="AM304" s="37" t="str">
        <f aca="false">IF(AND(C304&lt;&gt;"",AH304&lt;&gt;"Closed",AH304&lt;&gt;"Void – logged in error",OR(AH304&lt;&gt;"",AD304&lt;&gt;"",AE304&lt;&gt;"",AF304&lt;&gt;"",AG304&lt;&gt;"")),ROW(),"")</f>
        <v/>
      </c>
    </row>
    <row r="305" customFormat="false" ht="30" hidden="false" customHeight="true" outlineLevel="0" collapsed="false">
      <c r="A305" s="28" t="str">
        <f aca="false">IF(C305="","","INC-"&amp;YEAR(C305)&amp;"-"&amp;TEXT(COUNTIFS($C$6:C305,"&gt;="&amp;DATE(YEAR(C305),1,1),$C$6:C305,"&lt;="&amp;DATE(YEAR(C305),12,31)),"000"))</f>
        <v/>
      </c>
      <c r="B305" s="29"/>
      <c r="C305" s="30"/>
      <c r="D305" s="31"/>
      <c r="E305" s="30"/>
      <c r="F305" s="29"/>
      <c r="G305" s="29"/>
      <c r="H305" s="29"/>
      <c r="I305" s="29"/>
      <c r="J305" s="29"/>
      <c r="K305" s="29"/>
      <c r="L305" s="29"/>
      <c r="M305" s="29"/>
      <c r="N305" s="29"/>
      <c r="O305" s="29"/>
      <c r="P305" s="29"/>
      <c r="Q305" s="32"/>
      <c r="R305" s="29"/>
      <c r="S305" s="29"/>
      <c r="T305" s="33" t="str">
        <f aca="false">IF(AH305="Void – logged in error","",IF(OR(C305="",S305=""),IF(C305="","","Decide"),IF(OR(S305="Not reportable",S305="Over-3-day injury (record only)"),"No","Yes")))</f>
        <v/>
      </c>
      <c r="U305" s="34" t="str">
        <f aca="false">IF(OR(C305="",S305=""),"",IF(S305="Over-7-day injury",C305+15,IF(OR(S305="Death",S305="Specified injury",S305="Member of public to hospital",S305="Dangerous occurrence"),C305+10,"")))</f>
        <v/>
      </c>
      <c r="V305" s="28" t="str">
        <f aca="true">IF(C305="","",IF(AH305="Void – logged in error","Void",IF(W305&lt;&gt;"","Done – reported",IF(S305="Occupational disease","REPORT NOW – on diagnosis",IF(ISNUMBER(U305),IF(U305&lt;TODAY(),"OVERDUE – report now",IF(U305=TODAY(),"DUE TODAY",IF(U305-TODAY()&lt;='Start here'!$C$7,"DUE in "&amp;(U305-TODAY())&amp;" days",IF(OR(S305="Death",S305="Specified injury",S305="Member of public to hospital",S305="Dangerous occurrence"),"REPORT without delay","Report by date shown")))),IF(AND(N(Q305)&gt;7,OR(S305="",S305="Not reportable",S305="Over-3-day injury (record only)")),"CHECK – over 7 days off",IF(S305="","Decide RIDDOR",IF(S305="Over-3-day injury (record only)","Record only","Not reportable"))))))))</f>
        <v/>
      </c>
      <c r="W305" s="30"/>
      <c r="X305" s="29"/>
      <c r="Y305" s="32"/>
      <c r="Z305" s="29"/>
      <c r="AA305" s="35"/>
      <c r="AB305" s="29"/>
      <c r="AC305" s="29"/>
      <c r="AD305" s="29"/>
      <c r="AE305" s="29"/>
      <c r="AF305" s="29"/>
      <c r="AG305" s="30"/>
      <c r="AH305" s="29"/>
      <c r="AI305" s="36" t="str">
        <f aca="true">IF(OR(C305="",AH305="Closed",AH305="Void – logged in error",AG305=""),"",IF(AG305&lt;TODAY(),"OVERDUE",IF(AG305-TODAY()&lt;='Start here'!$C$8,"Due soon","On track")))</f>
        <v/>
      </c>
      <c r="AJ305" s="29"/>
      <c r="AK305" s="29"/>
      <c r="AL305" s="30"/>
      <c r="AM305" s="37" t="str">
        <f aca="false">IF(AND(C305&lt;&gt;"",AH305&lt;&gt;"Closed",AH305&lt;&gt;"Void – logged in error",OR(AH305&lt;&gt;"",AD305&lt;&gt;"",AE305&lt;&gt;"",AF305&lt;&gt;"",AG305&lt;&gt;"")),ROW(),"")</f>
        <v/>
      </c>
    </row>
  </sheetData>
  <autoFilter ref="A4:AL305"/>
  <mergeCells count="8">
    <mergeCell ref="A1:C1"/>
    <mergeCell ref="D1:P1"/>
    <mergeCell ref="A2:AL2"/>
    <mergeCell ref="A3:K3"/>
    <mergeCell ref="L3:R3"/>
    <mergeCell ref="S3:X3"/>
    <mergeCell ref="Y3:AJ3"/>
    <mergeCell ref="AK3:AL3"/>
  </mergeCells>
  <conditionalFormatting sqref="A6:AL305">
    <cfRule type="expression" priority="2" aboveAverage="0" equalAverage="0" bottom="0" percent="0" rank="0" text="" dxfId="7">
      <formula>$AH6="Void – logged in error"</formula>
    </cfRule>
  </conditionalFormatting>
  <conditionalFormatting sqref="V6:V305">
    <cfRule type="expression" priority="3" aboveAverage="0" equalAverage="0" bottom="0" percent="0" rank="0" text="" dxfId="8">
      <formula>OR(LEFT(V6,4)="OVER",LEFT(V6,3)="DUE",LEFT(V6,6)="REPORT",LEFT(V6,5)="CHECK")</formula>
    </cfRule>
    <cfRule type="expression" priority="4" aboveAverage="0" equalAverage="0" bottom="0" percent="0" rank="0" text="" dxfId="9">
      <formula>V6="Decide RIDDOR"</formula>
    </cfRule>
    <cfRule type="expression" priority="5" aboveAverage="0" equalAverage="0" bottom="0" percent="0" rank="0" text="" dxfId="10">
      <formula>V6="Done – reported"</formula>
    </cfRule>
  </conditionalFormatting>
  <conditionalFormatting sqref="U6:U305">
    <cfRule type="expression" priority="6" aboveAverage="0" equalAverage="0" bottom="0" percent="0" rank="0" text="" dxfId="8">
      <formula>AND(ISNUMBER(U6),W6="",U6-TODAY()&lt;='Start here'!$C$7)</formula>
    </cfRule>
  </conditionalFormatting>
  <conditionalFormatting sqref="T6:T305">
    <cfRule type="expression" priority="7" aboveAverage="0" equalAverage="0" bottom="0" percent="0" rank="0" text="" dxfId="9">
      <formula>T6="Decide"</formula>
    </cfRule>
  </conditionalFormatting>
  <conditionalFormatting sqref="AI6:AI305">
    <cfRule type="expression" priority="8" aboveAverage="0" equalAverage="0" bottom="0" percent="0" rank="0" text="" dxfId="8">
      <formula>AI6="OVERDUE"</formula>
    </cfRule>
    <cfRule type="expression" priority="9" aboveAverage="0" equalAverage="0" bottom="0" percent="0" rank="0" text="" dxfId="9">
      <formula>AI6="Due soon"</formula>
    </cfRule>
  </conditionalFormatting>
  <conditionalFormatting sqref="AG6:AG305">
    <cfRule type="expression" priority="10" aboveAverage="0" equalAverage="0" bottom="0" percent="0" rank="0" text="" dxfId="8">
      <formula>AI6="OVERDUE"</formula>
    </cfRule>
  </conditionalFormatting>
  <conditionalFormatting sqref="AH6:AH305">
    <cfRule type="expression" priority="11" aboveAverage="0" equalAverage="0" bottom="0" percent="0" rank="0" text="" dxfId="11">
      <formula>AH6="Closed"</formula>
    </cfRule>
  </conditionalFormatting>
  <conditionalFormatting sqref="R6:R305">
    <cfRule type="expression" priority="12" aboveAverage="0" equalAverage="0" bottom="0" percent="0" rank="0" text="" dxfId="8">
      <formula>R6="No – do it now"</formula>
    </cfRule>
  </conditionalFormatting>
  <dataValidations count="16">
    <dataValidation allowBlank="true" error="Please pick an option from the drop-down list. You can add options on the Lists tab." errorStyle="stop" errorTitle="Pick from the list" operator="between" showDropDown="false" showErrorMessage="true" showInputMessage="false" sqref="B6:B305" type="list">
      <formula1>Lists!$A$2:$A$9</formula1>
      <formula2>0</formula2>
    </dataValidation>
    <dataValidation allowBlank="true" error="Enter a date as DD/MM/YYYY (after 2000)." errorStyle="stop" errorTitle="Date" operator="greaterThan" showDropDown="false" showErrorMessage="true" showInputMessage="false" sqref="C6:C305 E6:E305 W6:W305 AG6:AG305 AL6:AL305" type="date">
      <formula1>36526</formula1>
      <formula2>0</formula2>
    </dataValidation>
    <dataValidation allowBlank="true" error="Enter a time as HH:MM, e.g. 14:30." errorStyle="stop" errorTitle="Time" operator="between" showDropDown="false" showErrorMessage="true" showInputMessage="false" sqref="D6:D305" type="time">
      <formula1>0</formula1>
      <formula2>0.999988</formula2>
    </dataValidation>
    <dataValidation allowBlank="true" error="Please pick an option from the drop-down list. You can add options on the Lists tab." errorStyle="stop" errorTitle="Pick from the list" operator="between" showDropDown="false" showErrorMessage="true" showInputMessage="false" sqref="J6:J305" type="list">
      <formula1>Lists!$C$2:$C$24</formula1>
      <formula2>0</formula2>
    </dataValidation>
    <dataValidation allowBlank="true" error="Please pick an option from the drop-down list. You can add options on the Lists tab." errorStyle="stop" errorTitle="Pick from the list" operator="between" showDropDown="false" showErrorMessage="true" showInputMessage="false" sqref="M6:M305" type="list">
      <formula1>Lists!$B$2:$B$9</formula1>
      <formula2>0</formula2>
    </dataValidation>
    <dataValidation allowBlank="true" error="Please pick an option from the drop-down list. You can add options on the Lists tab." errorStyle="stop" errorTitle="Pick from the list" operator="between" showDropDown="false" showErrorMessage="true" showInputMessage="false" sqref="N6:N305" type="list">
      <formula1>Lists!$D$2:$D$22</formula1>
      <formula2>0</formula2>
    </dataValidation>
    <dataValidation allowBlank="true" error="Please pick an option from the drop-down list. You can add options on the Lists tab." errorStyle="stop" errorTitle="Pick from the list" operator="between" showDropDown="false" showErrorMessage="true" showInputMessage="false" sqref="O6:O305" type="list">
      <formula1>Lists!$E$2:$E$24</formula1>
      <formula2>0</formula2>
    </dataValidation>
    <dataValidation allowBlank="true" error="Please pick an option from the drop-down list. You can add options on the Lists tab." errorStyle="stop" errorTitle="Pick from the list" operator="between" showDropDown="false" showErrorMessage="true" showInputMessage="false" sqref="P6:P305" type="list">
      <formula1>Lists!$F$2:$F$8</formula1>
      <formula2>0</formula2>
    </dataValidation>
    <dataValidation allowBlank="true" error="Enter a whole number of days, e.g. 9." errorStyle="stop" errorTitle="Days" operator="between" showDropDown="false" showErrorMessage="true" showInputMessage="false" sqref="Q6:Q305" type="whole">
      <formula1>0</formula1>
      <formula2>3650</formula2>
    </dataValidation>
    <dataValidation allowBlank="true" error="Please pick an option from the drop-down list. You can add options on the Lists tab." errorStyle="stop" errorTitle="Pick from the list" operator="between" showDropDown="false" showErrorMessage="true" showInputMessage="false" sqref="R6:R305" type="list">
      <formula1>Lists!$G$2:$G$4</formula1>
      <formula2>0</formula2>
    </dataValidation>
    <dataValidation allowBlank="true" error="Please pick an option from the drop-down list. You can add options on the Lists tab." errorStyle="stop" errorTitle="Pick from the list" operator="between" showDropDown="false" showErrorMessage="true" showInputMessage="false" sqref="S6:S305" type="list">
      <formula1>Lists!$H$2:$H$9</formula1>
      <formula2>0</formula2>
    </dataValidation>
    <dataValidation allowBlank="true" error="Please pick an option from the drop-down list. You can add options on the Lists tab." errorStyle="stop" errorTitle="Pick from the list" operator="between" showDropDown="false" showErrorMessage="true" showInputMessage="false" sqref="Y6:Y305" type="list">
      <formula1>Lists!$I$2:$I$5</formula1>
      <formula2>0</formula2>
    </dataValidation>
    <dataValidation allowBlank="true" error="Enter a number in pounds, without the £ sign." errorStyle="stop" errorTitle="Cost" operator="greaterThanOrEqual" showDropDown="false" showErrorMessage="true" showInputMessage="false" sqref="AA6:AA305" type="decimal">
      <formula1>0</formula1>
      <formula2>0</formula2>
    </dataValidation>
    <dataValidation allowBlank="true" error="Please pick an option from the drop-down list. You can add options on the Lists tab." errorStyle="stop" errorTitle="Pick from the list" operator="between" showDropDown="false" showErrorMessage="true" showInputMessage="false" sqref="AB6:AB305" type="list">
      <formula1>Lists!$J$2:$J$17</formula1>
      <formula2>0</formula2>
    </dataValidation>
    <dataValidation allowBlank="true" error="Please pick an option from the drop-down list. You can add options on the Lists tab." errorStyle="stop" errorTitle="Pick from the list" operator="between" showDropDown="false" showErrorMessage="true" showInputMessage="false" sqref="AH6:AH305" type="list">
      <formula1>Lists!$K$2:$K$7</formula1>
      <formula2>0</formula2>
    </dataValidation>
    <dataValidation allowBlank="true" error="Please pick an option from the drop-down list. You can add options on the Lists tab." errorStyle="stop" errorTitle="Pick from the list" operator="between" showDropDown="false" showErrorMessage="true" showInputMessage="false" sqref="AK6:AK305" type="list">
      <formula1>Lists!$L$2:$L$4</formula1>
      <formula2>0</formula2>
    </dataValidation>
  </dataValidations>
  <printOptions headings="false" gridLines="false" gridLinesSet="true" horizontalCentered="false" verticalCentered="false"/>
  <pageMargins left="0.75" right="0.75"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&amp;L&amp;"Aptos,Regular"&amp;8[COMPANY NAME] – Incident, Accident and Near Miss Register – ARB-INC-01 – Version 2.0&amp;R&amp;"Aptos,Regular"&amp;8Page &amp;P of &amp;N  ·  Not controlled when printed</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19" min="2" style="0" width="12.5"/>
  </cols>
  <sheetData>
    <row r="1" customFormat="false" ht="19.7" hidden="false" customHeight="false" outlineLevel="0" collapsed="false">
      <c r="A1" s="21" t="s">
        <v>0</v>
      </c>
      <c r="B1" s="21"/>
      <c r="C1" s="21"/>
      <c r="D1" s="22" t="str">
        <f aca="false">'Start here'!$C$6&amp;"  –  INCIDENT SUMMARY"</f>
        <v>[COMPANY NAME]  –  INCIDENT SUMMARY</v>
      </c>
      <c r="E1" s="22"/>
      <c r="F1" s="22"/>
      <c r="G1" s="22"/>
      <c r="H1" s="22"/>
      <c r="I1" s="22"/>
      <c r="J1" s="22"/>
      <c r="K1" s="22"/>
      <c r="L1" s="22"/>
      <c r="M1" s="22"/>
      <c r="N1" s="22"/>
      <c r="O1" s="22"/>
      <c r="P1" s="22"/>
    </row>
    <row r="2" customFormat="false" ht="15" hidden="false" customHeight="false" outlineLevel="0" collapsed="false">
      <c r="A2" s="23" t="s">
        <v>218</v>
      </c>
      <c r="B2" s="23"/>
      <c r="C2" s="23"/>
      <c r="D2" s="23"/>
      <c r="E2" s="23"/>
      <c r="F2" s="23"/>
      <c r="G2" s="23"/>
      <c r="H2" s="23"/>
      <c r="I2" s="23"/>
      <c r="J2" s="23"/>
      <c r="K2" s="23"/>
      <c r="L2" s="23"/>
      <c r="M2" s="23"/>
      <c r="N2" s="23"/>
      <c r="O2" s="23"/>
      <c r="P2" s="23"/>
      <c r="Q2" s="23"/>
      <c r="R2" s="23"/>
      <c r="S2" s="23"/>
    </row>
    <row r="4" customFormat="false" ht="15" hidden="false" customHeight="false" outlineLevel="0" collapsed="false">
      <c r="A4" s="38" t="s">
        <v>219</v>
      </c>
      <c r="B4" s="39" t="n">
        <v>2026</v>
      </c>
      <c r="C4" s="40" t="s">
        <v>220</v>
      </c>
      <c r="D4" s="40"/>
      <c r="E4" s="40"/>
      <c r="F4" s="40"/>
      <c r="G4" s="40"/>
      <c r="H4" s="40"/>
      <c r="I4" s="40"/>
      <c r="J4" s="40"/>
    </row>
    <row r="5" customFormat="false" ht="15" hidden="false" customHeight="true" outlineLevel="0" collapsed="false">
      <c r="B5" s="24" t="s">
        <v>221</v>
      </c>
      <c r="C5" s="24"/>
      <c r="D5" s="24"/>
      <c r="E5" s="24"/>
      <c r="F5" s="24"/>
      <c r="G5" s="24"/>
      <c r="H5" s="24"/>
      <c r="I5" s="24"/>
      <c r="J5" s="24" t="s">
        <v>222</v>
      </c>
      <c r="K5" s="24"/>
      <c r="L5" s="24"/>
      <c r="M5" s="24"/>
      <c r="N5" s="24"/>
      <c r="O5" s="24" t="s">
        <v>223</v>
      </c>
      <c r="P5" s="24"/>
      <c r="Q5" s="24"/>
    </row>
    <row r="6" customFormat="false" ht="43.5" hidden="false" customHeight="true" outlineLevel="0" collapsed="false">
      <c r="A6" s="25" t="s">
        <v>224</v>
      </c>
      <c r="B6" s="25" t="s">
        <v>225</v>
      </c>
      <c r="C6" s="25" t="s">
        <v>226</v>
      </c>
      <c r="D6" s="25" t="s">
        <v>227</v>
      </c>
      <c r="E6" s="25" t="s">
        <v>228</v>
      </c>
      <c r="F6" s="25" t="s">
        <v>229</v>
      </c>
      <c r="G6" s="25" t="s">
        <v>230</v>
      </c>
      <c r="H6" s="25" t="s">
        <v>68</v>
      </c>
      <c r="I6" s="25" t="s">
        <v>231</v>
      </c>
      <c r="J6" s="25" t="s">
        <v>232</v>
      </c>
      <c r="K6" s="25" t="s">
        <v>233</v>
      </c>
      <c r="L6" s="25" t="s">
        <v>234</v>
      </c>
      <c r="M6" s="25" t="s">
        <v>235</v>
      </c>
      <c r="N6" s="25" t="s">
        <v>236</v>
      </c>
      <c r="O6" s="25" t="s">
        <v>237</v>
      </c>
      <c r="P6" s="25" t="s">
        <v>238</v>
      </c>
      <c r="Q6" s="25" t="s">
        <v>239</v>
      </c>
    </row>
    <row r="7" customFormat="false" ht="19.5" hidden="false" customHeight="true" outlineLevel="0" collapsed="false">
      <c r="A7" s="41" t="n">
        <f aca="false">$B$4-4</f>
        <v>2022</v>
      </c>
      <c r="B7" s="42" t="n">
        <f aca="false">COUNTIFS(Log!$B$6:$B$305,B$6,Log!$C$6:$C$305,"&gt;="&amp;DATE($A7,1,1),Log!$C$6:$C$305,"&lt;="&amp;DATE($A7,12,31),Log!$AH$6:$AH$305,"&lt;&gt;Void – logged in error")</f>
        <v>0</v>
      </c>
      <c r="C7" s="42" t="n">
        <f aca="false">COUNTIFS(Log!$B$6:$B$305,C$6,Log!$C$6:$C$305,"&gt;="&amp;DATE($A7,1,1),Log!$C$6:$C$305,"&lt;="&amp;DATE($A7,12,31),Log!$AH$6:$AH$305,"&lt;&gt;Void – logged in error")</f>
        <v>0</v>
      </c>
      <c r="D7" s="42" t="n">
        <f aca="false">COUNTIFS(Log!$B$6:$B$305,D$6,Log!$C$6:$C$305,"&gt;="&amp;DATE($A7,1,1),Log!$C$6:$C$305,"&lt;="&amp;DATE($A7,12,31),Log!$AH$6:$AH$305,"&lt;&gt;Void – logged in error")</f>
        <v>0</v>
      </c>
      <c r="E7" s="42" t="n">
        <f aca="false">COUNTIFS(Log!$B$6:$B$305,E$6,Log!$C$6:$C$305,"&gt;="&amp;DATE($A7,1,1),Log!$C$6:$C$305,"&lt;="&amp;DATE($A7,12,31),Log!$AH$6:$AH$305,"&lt;&gt;Void – logged in error")</f>
        <v>0</v>
      </c>
      <c r="F7" s="42" t="n">
        <f aca="false">COUNTIFS(Log!$B$6:$B$305,F$6,Log!$C$6:$C$305,"&gt;="&amp;DATE($A7,1,1),Log!$C$6:$C$305,"&lt;="&amp;DATE($A7,12,31),Log!$AH$6:$AH$305,"&lt;&gt;Void – logged in error")</f>
        <v>0</v>
      </c>
      <c r="G7" s="42" t="n">
        <f aca="false">COUNTIFS(Log!$B$6:$B$305,G$6,Log!$C$6:$C$305,"&gt;="&amp;DATE($A7,1,1),Log!$C$6:$C$305,"&lt;="&amp;DATE($A7,12,31),Log!$AH$6:$AH$305,"&lt;&gt;Void – logged in error")</f>
        <v>0</v>
      </c>
      <c r="H7" s="42" t="n">
        <f aca="false">COUNTIFS(Log!$B$6:$B$305,H$6,Log!$C$6:$C$305,"&gt;="&amp;DATE($A7,1,1),Log!$C$6:$C$305,"&lt;="&amp;DATE($A7,12,31),Log!$AH$6:$AH$305,"&lt;&gt;Void – logged in error")</f>
        <v>0</v>
      </c>
      <c r="I7" s="42" t="n">
        <f aca="false">COUNTIFS(Log!$B$6:$B$305,I$6,Log!$C$6:$C$305,"&gt;="&amp;DATE($A7,1,1),Log!$C$6:$C$305,"&lt;="&amp;DATE($A7,12,31),Log!$AH$6:$AH$305,"&lt;&gt;Void – logged in error")</f>
        <v>0</v>
      </c>
      <c r="J7" s="43" t="n">
        <f aca="false">SUM(B7:I7)</f>
        <v>0</v>
      </c>
      <c r="K7" s="42" t="n">
        <f aca="false">COUNTIFS(Log!$T$6:$T$305,"Yes",Log!$C$6:$C$305,"&gt;="&amp;DATE($A7,1,1),Log!$C$6:$C$305,"&lt;="&amp;DATE($A7,12,31),Log!$AH$6:$AH$305,"&lt;&gt;Void – logged in error")</f>
        <v>0</v>
      </c>
      <c r="L7" s="42" t="n">
        <f aca="false">COUNTIFS(Log!$B$6:$B$305,"Injury",Log!$Q$6:$Q$305,"&gt;=1",Log!$C$6:$C$305,"&gt;="&amp;DATE($A7,1,1),Log!$C$6:$C$305,"&lt;="&amp;DATE($A7,12,31),Log!$AH$6:$AH$305,"&lt;&gt;Void – logged in error")</f>
        <v>0</v>
      </c>
      <c r="M7" s="42" t="n">
        <f aca="false">SUMIFS(Log!$Q$6:$Q$305,Log!$C$6:$C$305,"&gt;="&amp;DATE($A7,1,1),Log!$C$6:$C$305,"&lt;="&amp;DATE($A7,12,31),Log!$AH$6:$AH$305,"&lt;&gt;Void – logged in error")</f>
        <v>0</v>
      </c>
      <c r="N7" s="44" t="str">
        <f aca="false">IF(SUMIFS($B$20:$B$29,$A$20:$A$29,$A7)=0,"",SUMIFS($B$20:$B$29,$A$20:$A$29,$A7))</f>
        <v/>
      </c>
      <c r="O7" s="45" t="str">
        <f aca="false">IF(N($N7)=0,"",ROUND(J7/$N7*100000,2))</f>
        <v/>
      </c>
      <c r="P7" s="45" t="str">
        <f aca="false">IF(N($N7)=0,"",ROUND(B7/$N7*100000,2))</f>
        <v/>
      </c>
      <c r="Q7" s="45" t="str">
        <f aca="false">IF(N($N7)=0,"",ROUND(K7/$N7*100000,2))</f>
        <v/>
      </c>
    </row>
    <row r="8" customFormat="false" ht="19.5" hidden="false" customHeight="true" outlineLevel="0" collapsed="false">
      <c r="A8" s="46" t="n">
        <f aca="false">$B$4-3</f>
        <v>2023</v>
      </c>
      <c r="B8" s="47" t="n">
        <f aca="false">COUNTIFS(Log!$B$6:$B$305,B$6,Log!$C$6:$C$305,"&gt;="&amp;DATE($A8,1,1),Log!$C$6:$C$305,"&lt;="&amp;DATE($A8,12,31),Log!$AH$6:$AH$305,"&lt;&gt;Void – logged in error")</f>
        <v>0</v>
      </c>
      <c r="C8" s="47" t="n">
        <f aca="false">COUNTIFS(Log!$B$6:$B$305,C$6,Log!$C$6:$C$305,"&gt;="&amp;DATE($A8,1,1),Log!$C$6:$C$305,"&lt;="&amp;DATE($A8,12,31),Log!$AH$6:$AH$305,"&lt;&gt;Void – logged in error")</f>
        <v>0</v>
      </c>
      <c r="D8" s="47" t="n">
        <f aca="false">COUNTIFS(Log!$B$6:$B$305,D$6,Log!$C$6:$C$305,"&gt;="&amp;DATE($A8,1,1),Log!$C$6:$C$305,"&lt;="&amp;DATE($A8,12,31),Log!$AH$6:$AH$305,"&lt;&gt;Void – logged in error")</f>
        <v>0</v>
      </c>
      <c r="E8" s="47" t="n">
        <f aca="false">COUNTIFS(Log!$B$6:$B$305,E$6,Log!$C$6:$C$305,"&gt;="&amp;DATE($A8,1,1),Log!$C$6:$C$305,"&lt;="&amp;DATE($A8,12,31),Log!$AH$6:$AH$305,"&lt;&gt;Void – logged in error")</f>
        <v>0</v>
      </c>
      <c r="F8" s="47" t="n">
        <f aca="false">COUNTIFS(Log!$B$6:$B$305,F$6,Log!$C$6:$C$305,"&gt;="&amp;DATE($A8,1,1),Log!$C$6:$C$305,"&lt;="&amp;DATE($A8,12,31),Log!$AH$6:$AH$305,"&lt;&gt;Void – logged in error")</f>
        <v>0</v>
      </c>
      <c r="G8" s="47" t="n">
        <f aca="false">COUNTIFS(Log!$B$6:$B$305,G$6,Log!$C$6:$C$305,"&gt;="&amp;DATE($A8,1,1),Log!$C$6:$C$305,"&lt;="&amp;DATE($A8,12,31),Log!$AH$6:$AH$305,"&lt;&gt;Void – logged in error")</f>
        <v>0</v>
      </c>
      <c r="H8" s="47" t="n">
        <f aca="false">COUNTIFS(Log!$B$6:$B$305,H$6,Log!$C$6:$C$305,"&gt;="&amp;DATE($A8,1,1),Log!$C$6:$C$305,"&lt;="&amp;DATE($A8,12,31),Log!$AH$6:$AH$305,"&lt;&gt;Void – logged in error")</f>
        <v>0</v>
      </c>
      <c r="I8" s="47" t="n">
        <f aca="false">COUNTIFS(Log!$B$6:$B$305,I$6,Log!$C$6:$C$305,"&gt;="&amp;DATE($A8,1,1),Log!$C$6:$C$305,"&lt;="&amp;DATE($A8,12,31),Log!$AH$6:$AH$305,"&lt;&gt;Void – logged in error")</f>
        <v>0</v>
      </c>
      <c r="J8" s="48" t="n">
        <f aca="false">SUM(B8:I8)</f>
        <v>0</v>
      </c>
      <c r="K8" s="47" t="n">
        <f aca="false">COUNTIFS(Log!$T$6:$T$305,"Yes",Log!$C$6:$C$305,"&gt;="&amp;DATE($A8,1,1),Log!$C$6:$C$305,"&lt;="&amp;DATE($A8,12,31),Log!$AH$6:$AH$305,"&lt;&gt;Void – logged in error")</f>
        <v>0</v>
      </c>
      <c r="L8" s="47" t="n">
        <f aca="false">COUNTIFS(Log!$B$6:$B$305,"Injury",Log!$Q$6:$Q$305,"&gt;=1",Log!$C$6:$C$305,"&gt;="&amp;DATE($A8,1,1),Log!$C$6:$C$305,"&lt;="&amp;DATE($A8,12,31),Log!$AH$6:$AH$305,"&lt;&gt;Void – logged in error")</f>
        <v>0</v>
      </c>
      <c r="M8" s="47" t="n">
        <f aca="false">SUMIFS(Log!$Q$6:$Q$305,Log!$C$6:$C$305,"&gt;="&amp;DATE($A8,1,1),Log!$C$6:$C$305,"&lt;="&amp;DATE($A8,12,31),Log!$AH$6:$AH$305,"&lt;&gt;Void – logged in error")</f>
        <v>0</v>
      </c>
      <c r="N8" s="49" t="str">
        <f aca="false">IF(SUMIFS($B$20:$B$29,$A$20:$A$29,$A8)=0,"",SUMIFS($B$20:$B$29,$A$20:$A$29,$A8))</f>
        <v/>
      </c>
      <c r="O8" s="50" t="str">
        <f aca="false">IF(N($N8)=0,"",ROUND(J8/$N8*100000,2))</f>
        <v/>
      </c>
      <c r="P8" s="50" t="str">
        <f aca="false">IF(N($N8)=0,"",ROUND(B8/$N8*100000,2))</f>
        <v/>
      </c>
      <c r="Q8" s="50" t="str">
        <f aca="false">IF(N($N8)=0,"",ROUND(K8/$N8*100000,2))</f>
        <v/>
      </c>
    </row>
    <row r="9" customFormat="false" ht="19.5" hidden="false" customHeight="true" outlineLevel="0" collapsed="false">
      <c r="A9" s="41" t="n">
        <f aca="false">$B$4-2</f>
        <v>2024</v>
      </c>
      <c r="B9" s="42" t="n">
        <f aca="false">COUNTIFS(Log!$B$6:$B$305,B$6,Log!$C$6:$C$305,"&gt;="&amp;DATE($A9,1,1),Log!$C$6:$C$305,"&lt;="&amp;DATE($A9,12,31),Log!$AH$6:$AH$305,"&lt;&gt;Void – logged in error")</f>
        <v>0</v>
      </c>
      <c r="C9" s="42" t="n">
        <f aca="false">COUNTIFS(Log!$B$6:$B$305,C$6,Log!$C$6:$C$305,"&gt;="&amp;DATE($A9,1,1),Log!$C$6:$C$305,"&lt;="&amp;DATE($A9,12,31),Log!$AH$6:$AH$305,"&lt;&gt;Void – logged in error")</f>
        <v>0</v>
      </c>
      <c r="D9" s="42" t="n">
        <f aca="false">COUNTIFS(Log!$B$6:$B$305,D$6,Log!$C$6:$C$305,"&gt;="&amp;DATE($A9,1,1),Log!$C$6:$C$305,"&lt;="&amp;DATE($A9,12,31),Log!$AH$6:$AH$305,"&lt;&gt;Void – logged in error")</f>
        <v>0</v>
      </c>
      <c r="E9" s="42" t="n">
        <f aca="false">COUNTIFS(Log!$B$6:$B$305,E$6,Log!$C$6:$C$305,"&gt;="&amp;DATE($A9,1,1),Log!$C$6:$C$305,"&lt;="&amp;DATE($A9,12,31),Log!$AH$6:$AH$305,"&lt;&gt;Void – logged in error")</f>
        <v>0</v>
      </c>
      <c r="F9" s="42" t="n">
        <f aca="false">COUNTIFS(Log!$B$6:$B$305,F$6,Log!$C$6:$C$305,"&gt;="&amp;DATE($A9,1,1),Log!$C$6:$C$305,"&lt;="&amp;DATE($A9,12,31),Log!$AH$6:$AH$305,"&lt;&gt;Void – logged in error")</f>
        <v>0</v>
      </c>
      <c r="G9" s="42" t="n">
        <f aca="false">COUNTIFS(Log!$B$6:$B$305,G$6,Log!$C$6:$C$305,"&gt;="&amp;DATE($A9,1,1),Log!$C$6:$C$305,"&lt;="&amp;DATE($A9,12,31),Log!$AH$6:$AH$305,"&lt;&gt;Void – logged in error")</f>
        <v>0</v>
      </c>
      <c r="H9" s="42" t="n">
        <f aca="false">COUNTIFS(Log!$B$6:$B$305,H$6,Log!$C$6:$C$305,"&gt;="&amp;DATE($A9,1,1),Log!$C$6:$C$305,"&lt;="&amp;DATE($A9,12,31),Log!$AH$6:$AH$305,"&lt;&gt;Void – logged in error")</f>
        <v>0</v>
      </c>
      <c r="I9" s="42" t="n">
        <f aca="false">COUNTIFS(Log!$B$6:$B$305,I$6,Log!$C$6:$C$305,"&gt;="&amp;DATE($A9,1,1),Log!$C$6:$C$305,"&lt;="&amp;DATE($A9,12,31),Log!$AH$6:$AH$305,"&lt;&gt;Void – logged in error")</f>
        <v>0</v>
      </c>
      <c r="J9" s="43" t="n">
        <f aca="false">SUM(B9:I9)</f>
        <v>0</v>
      </c>
      <c r="K9" s="42" t="n">
        <f aca="false">COUNTIFS(Log!$T$6:$T$305,"Yes",Log!$C$6:$C$305,"&gt;="&amp;DATE($A9,1,1),Log!$C$6:$C$305,"&lt;="&amp;DATE($A9,12,31),Log!$AH$6:$AH$305,"&lt;&gt;Void – logged in error")</f>
        <v>0</v>
      </c>
      <c r="L9" s="42" t="n">
        <f aca="false">COUNTIFS(Log!$B$6:$B$305,"Injury",Log!$Q$6:$Q$305,"&gt;=1",Log!$C$6:$C$305,"&gt;="&amp;DATE($A9,1,1),Log!$C$6:$C$305,"&lt;="&amp;DATE($A9,12,31),Log!$AH$6:$AH$305,"&lt;&gt;Void – logged in error")</f>
        <v>0</v>
      </c>
      <c r="M9" s="42" t="n">
        <f aca="false">SUMIFS(Log!$Q$6:$Q$305,Log!$C$6:$C$305,"&gt;="&amp;DATE($A9,1,1),Log!$C$6:$C$305,"&lt;="&amp;DATE($A9,12,31),Log!$AH$6:$AH$305,"&lt;&gt;Void – logged in error")</f>
        <v>0</v>
      </c>
      <c r="N9" s="44" t="str">
        <f aca="false">IF(SUMIFS($B$20:$B$29,$A$20:$A$29,$A9)=0,"",SUMIFS($B$20:$B$29,$A$20:$A$29,$A9))</f>
        <v/>
      </c>
      <c r="O9" s="45" t="str">
        <f aca="false">IF(N($N9)=0,"",ROUND(J9/$N9*100000,2))</f>
        <v/>
      </c>
      <c r="P9" s="45" t="str">
        <f aca="false">IF(N($N9)=0,"",ROUND(B9/$N9*100000,2))</f>
        <v/>
      </c>
      <c r="Q9" s="45" t="str">
        <f aca="false">IF(N($N9)=0,"",ROUND(K9/$N9*100000,2))</f>
        <v/>
      </c>
    </row>
    <row r="10" customFormat="false" ht="19.5" hidden="false" customHeight="true" outlineLevel="0" collapsed="false">
      <c r="A10" s="46" t="n">
        <f aca="false">$B$4-1</f>
        <v>2025</v>
      </c>
      <c r="B10" s="47" t="n">
        <f aca="false">COUNTIFS(Log!$B$6:$B$305,B$6,Log!$C$6:$C$305,"&gt;="&amp;DATE($A10,1,1),Log!$C$6:$C$305,"&lt;="&amp;DATE($A10,12,31),Log!$AH$6:$AH$305,"&lt;&gt;Void – logged in error")</f>
        <v>0</v>
      </c>
      <c r="C10" s="47" t="n">
        <f aca="false">COUNTIFS(Log!$B$6:$B$305,C$6,Log!$C$6:$C$305,"&gt;="&amp;DATE($A10,1,1),Log!$C$6:$C$305,"&lt;="&amp;DATE($A10,12,31),Log!$AH$6:$AH$305,"&lt;&gt;Void – logged in error")</f>
        <v>0</v>
      </c>
      <c r="D10" s="47" t="n">
        <f aca="false">COUNTIFS(Log!$B$6:$B$305,D$6,Log!$C$6:$C$305,"&gt;="&amp;DATE($A10,1,1),Log!$C$6:$C$305,"&lt;="&amp;DATE($A10,12,31),Log!$AH$6:$AH$305,"&lt;&gt;Void – logged in error")</f>
        <v>0</v>
      </c>
      <c r="E10" s="47" t="n">
        <f aca="false">COUNTIFS(Log!$B$6:$B$305,E$6,Log!$C$6:$C$305,"&gt;="&amp;DATE($A10,1,1),Log!$C$6:$C$305,"&lt;="&amp;DATE($A10,12,31),Log!$AH$6:$AH$305,"&lt;&gt;Void – logged in error")</f>
        <v>0</v>
      </c>
      <c r="F10" s="47" t="n">
        <f aca="false">COUNTIFS(Log!$B$6:$B$305,F$6,Log!$C$6:$C$305,"&gt;="&amp;DATE($A10,1,1),Log!$C$6:$C$305,"&lt;="&amp;DATE($A10,12,31),Log!$AH$6:$AH$305,"&lt;&gt;Void – logged in error")</f>
        <v>0</v>
      </c>
      <c r="G10" s="47" t="n">
        <f aca="false">COUNTIFS(Log!$B$6:$B$305,G$6,Log!$C$6:$C$305,"&gt;="&amp;DATE($A10,1,1),Log!$C$6:$C$305,"&lt;="&amp;DATE($A10,12,31),Log!$AH$6:$AH$305,"&lt;&gt;Void – logged in error")</f>
        <v>0</v>
      </c>
      <c r="H10" s="47" t="n">
        <f aca="false">COUNTIFS(Log!$B$6:$B$305,H$6,Log!$C$6:$C$305,"&gt;="&amp;DATE($A10,1,1),Log!$C$6:$C$305,"&lt;="&amp;DATE($A10,12,31),Log!$AH$6:$AH$305,"&lt;&gt;Void – logged in error")</f>
        <v>0</v>
      </c>
      <c r="I10" s="47" t="n">
        <f aca="false">COUNTIFS(Log!$B$6:$B$305,I$6,Log!$C$6:$C$305,"&gt;="&amp;DATE($A10,1,1),Log!$C$6:$C$305,"&lt;="&amp;DATE($A10,12,31),Log!$AH$6:$AH$305,"&lt;&gt;Void – logged in error")</f>
        <v>0</v>
      </c>
      <c r="J10" s="48" t="n">
        <f aca="false">SUM(B10:I10)</f>
        <v>0</v>
      </c>
      <c r="K10" s="47" t="n">
        <f aca="false">COUNTIFS(Log!$T$6:$T$305,"Yes",Log!$C$6:$C$305,"&gt;="&amp;DATE($A10,1,1),Log!$C$6:$C$305,"&lt;="&amp;DATE($A10,12,31),Log!$AH$6:$AH$305,"&lt;&gt;Void – logged in error")</f>
        <v>0</v>
      </c>
      <c r="L10" s="47" t="n">
        <f aca="false">COUNTIFS(Log!$B$6:$B$305,"Injury",Log!$Q$6:$Q$305,"&gt;=1",Log!$C$6:$C$305,"&gt;="&amp;DATE($A10,1,1),Log!$C$6:$C$305,"&lt;="&amp;DATE($A10,12,31),Log!$AH$6:$AH$305,"&lt;&gt;Void – logged in error")</f>
        <v>0</v>
      </c>
      <c r="M10" s="47" t="n">
        <f aca="false">SUMIFS(Log!$Q$6:$Q$305,Log!$C$6:$C$305,"&gt;="&amp;DATE($A10,1,1),Log!$C$6:$C$305,"&lt;="&amp;DATE($A10,12,31),Log!$AH$6:$AH$305,"&lt;&gt;Void – logged in error")</f>
        <v>0</v>
      </c>
      <c r="N10" s="49" t="str">
        <f aca="false">IF(SUMIFS($B$20:$B$29,$A$20:$A$29,$A10)=0,"",SUMIFS($B$20:$B$29,$A$20:$A$29,$A10))</f>
        <v/>
      </c>
      <c r="O10" s="50" t="str">
        <f aca="false">IF(N($N10)=0,"",ROUND(J10/$N10*100000,2))</f>
        <v/>
      </c>
      <c r="P10" s="50" t="str">
        <f aca="false">IF(N($N10)=0,"",ROUND(B10/$N10*100000,2))</f>
        <v/>
      </c>
      <c r="Q10" s="50" t="str">
        <f aca="false">IF(N($N10)=0,"",ROUND(K10/$N10*100000,2))</f>
        <v/>
      </c>
    </row>
    <row r="11" customFormat="false" ht="19.5" hidden="false" customHeight="true" outlineLevel="0" collapsed="false">
      <c r="A11" s="41" t="n">
        <f aca="false">$B$4-0</f>
        <v>2026</v>
      </c>
      <c r="B11" s="42" t="n">
        <f aca="false">COUNTIFS(Log!$B$6:$B$305,B$6,Log!$C$6:$C$305,"&gt;="&amp;DATE($A11,1,1),Log!$C$6:$C$305,"&lt;="&amp;DATE($A11,12,31),Log!$AH$6:$AH$305,"&lt;&gt;Void – logged in error")</f>
        <v>0</v>
      </c>
      <c r="C11" s="42" t="n">
        <f aca="false">COUNTIFS(Log!$B$6:$B$305,C$6,Log!$C$6:$C$305,"&gt;="&amp;DATE($A11,1,1),Log!$C$6:$C$305,"&lt;="&amp;DATE($A11,12,31),Log!$AH$6:$AH$305,"&lt;&gt;Void – logged in error")</f>
        <v>0</v>
      </c>
      <c r="D11" s="42" t="n">
        <f aca="false">COUNTIFS(Log!$B$6:$B$305,D$6,Log!$C$6:$C$305,"&gt;="&amp;DATE($A11,1,1),Log!$C$6:$C$305,"&lt;="&amp;DATE($A11,12,31),Log!$AH$6:$AH$305,"&lt;&gt;Void – logged in error")</f>
        <v>0</v>
      </c>
      <c r="E11" s="42" t="n">
        <f aca="false">COUNTIFS(Log!$B$6:$B$305,E$6,Log!$C$6:$C$305,"&gt;="&amp;DATE($A11,1,1),Log!$C$6:$C$305,"&lt;="&amp;DATE($A11,12,31),Log!$AH$6:$AH$305,"&lt;&gt;Void – logged in error")</f>
        <v>0</v>
      </c>
      <c r="F11" s="42" t="n">
        <f aca="false">COUNTIFS(Log!$B$6:$B$305,F$6,Log!$C$6:$C$305,"&gt;="&amp;DATE($A11,1,1),Log!$C$6:$C$305,"&lt;="&amp;DATE($A11,12,31),Log!$AH$6:$AH$305,"&lt;&gt;Void – logged in error")</f>
        <v>0</v>
      </c>
      <c r="G11" s="42" t="n">
        <f aca="false">COUNTIFS(Log!$B$6:$B$305,G$6,Log!$C$6:$C$305,"&gt;="&amp;DATE($A11,1,1),Log!$C$6:$C$305,"&lt;="&amp;DATE($A11,12,31),Log!$AH$6:$AH$305,"&lt;&gt;Void – logged in error")</f>
        <v>0</v>
      </c>
      <c r="H11" s="42" t="n">
        <f aca="false">COUNTIFS(Log!$B$6:$B$305,H$6,Log!$C$6:$C$305,"&gt;="&amp;DATE($A11,1,1),Log!$C$6:$C$305,"&lt;="&amp;DATE($A11,12,31),Log!$AH$6:$AH$305,"&lt;&gt;Void – logged in error")</f>
        <v>0</v>
      </c>
      <c r="I11" s="42" t="n">
        <f aca="false">COUNTIFS(Log!$B$6:$B$305,I$6,Log!$C$6:$C$305,"&gt;="&amp;DATE($A11,1,1),Log!$C$6:$C$305,"&lt;="&amp;DATE($A11,12,31),Log!$AH$6:$AH$305,"&lt;&gt;Void – logged in error")</f>
        <v>0</v>
      </c>
      <c r="J11" s="43" t="n">
        <f aca="false">SUM(B11:I11)</f>
        <v>0</v>
      </c>
      <c r="K11" s="42" t="n">
        <f aca="false">COUNTIFS(Log!$T$6:$T$305,"Yes",Log!$C$6:$C$305,"&gt;="&amp;DATE($A11,1,1),Log!$C$6:$C$305,"&lt;="&amp;DATE($A11,12,31),Log!$AH$6:$AH$305,"&lt;&gt;Void – logged in error")</f>
        <v>0</v>
      </c>
      <c r="L11" s="42" t="n">
        <f aca="false">COUNTIFS(Log!$B$6:$B$305,"Injury",Log!$Q$6:$Q$305,"&gt;=1",Log!$C$6:$C$305,"&gt;="&amp;DATE($A11,1,1),Log!$C$6:$C$305,"&lt;="&amp;DATE($A11,12,31),Log!$AH$6:$AH$305,"&lt;&gt;Void – logged in error")</f>
        <v>0</v>
      </c>
      <c r="M11" s="42" t="n">
        <f aca="false">SUMIFS(Log!$Q$6:$Q$305,Log!$C$6:$C$305,"&gt;="&amp;DATE($A11,1,1),Log!$C$6:$C$305,"&lt;="&amp;DATE($A11,12,31),Log!$AH$6:$AH$305,"&lt;&gt;Void – logged in error")</f>
        <v>0</v>
      </c>
      <c r="N11" s="44" t="str">
        <f aca="false">IF(SUMIFS($B$20:$B$29,$A$20:$A$29,$A11)=0,"",SUMIFS($B$20:$B$29,$A$20:$A$29,$A11))</f>
        <v/>
      </c>
      <c r="O11" s="45" t="str">
        <f aca="false">IF(N($N11)=0,"",ROUND(J11/$N11*100000,2))</f>
        <v/>
      </c>
      <c r="P11" s="45" t="str">
        <f aca="false">IF(N($N11)=0,"",ROUND(B11/$N11*100000,2))</f>
        <v/>
      </c>
      <c r="Q11" s="45" t="str">
        <f aca="false">IF(N($N11)=0,"",ROUND(K11/$N11*100000,2))</f>
        <v/>
      </c>
    </row>
    <row r="12" customFormat="false" ht="23.85" hidden="false" customHeight="false" outlineLevel="0" collapsed="false">
      <c r="A12" s="51" t="s">
        <v>240</v>
      </c>
      <c r="B12" s="51" t="n">
        <f aca="false">SUM(B7:B11)</f>
        <v>0</v>
      </c>
      <c r="C12" s="51" t="n">
        <f aca="false">SUM(C7:C11)</f>
        <v>0</v>
      </c>
      <c r="D12" s="51" t="n">
        <f aca="false">SUM(D7:D11)</f>
        <v>0</v>
      </c>
      <c r="E12" s="51" t="n">
        <f aca="false">SUM(E7:E11)</f>
        <v>0</v>
      </c>
      <c r="F12" s="51" t="n">
        <f aca="false">SUM(F7:F11)</f>
        <v>0</v>
      </c>
      <c r="G12" s="51" t="n">
        <f aca="false">SUM(G7:G11)</f>
        <v>0</v>
      </c>
      <c r="H12" s="51" t="n">
        <f aca="false">SUM(H7:H11)</f>
        <v>0</v>
      </c>
      <c r="I12" s="51" t="n">
        <f aca="false">SUM(I7:I11)</f>
        <v>0</v>
      </c>
      <c r="J12" s="51" t="n">
        <f aca="false">SUM(J7:J11)</f>
        <v>0</v>
      </c>
      <c r="K12" s="51" t="n">
        <f aca="false">SUM(K7:K11)</f>
        <v>0</v>
      </c>
      <c r="L12" s="51" t="n">
        <f aca="false">SUM(L7:L11)</f>
        <v>0</v>
      </c>
      <c r="M12" s="51" t="n">
        <f aca="false">SUM(M7:M11)</f>
        <v>0</v>
      </c>
      <c r="N12" s="52" t="str">
        <f aca="false">IF(SUM(N7:N11)=0,"",SUM(N7:N11))</f>
        <v/>
      </c>
      <c r="O12" s="53" t="str">
        <f aca="false">IF(N($N12)=0,"",ROUND(J12/$N12*100000,2))</f>
        <v/>
      </c>
      <c r="P12" s="53" t="str">
        <f aca="false">IF(N($N12)=0,"",ROUND(B12/$N12*100000,2))</f>
        <v/>
      </c>
      <c r="Q12" s="53" t="str">
        <f aca="false">IF(N($N12)=0,"",ROUND(K12/$N12*100000,2))</f>
        <v/>
      </c>
    </row>
    <row r="14" customFormat="false" ht="24" hidden="false" customHeight="true" outlineLevel="0" collapsed="false">
      <c r="A14" s="54" t="s">
        <v>241</v>
      </c>
      <c r="B14" s="54"/>
      <c r="C14" s="54"/>
      <c r="D14" s="55" t="n">
        <f aca="false">COUNT(Log!$AM$6:$AM$305)</f>
        <v>0</v>
      </c>
      <c r="E14" s="54" t="s">
        <v>242</v>
      </c>
      <c r="F14" s="54"/>
      <c r="G14" s="54"/>
      <c r="H14" s="56" t="n">
        <f aca="false">COUNTIFS(Log!$AI$6:$AI$305,"OVERDUE")</f>
        <v>0</v>
      </c>
      <c r="I14" s="54" t="s">
        <v>243</v>
      </c>
      <c r="J14" s="54"/>
      <c r="K14" s="54"/>
      <c r="L14" s="56" t="n">
        <f aca="false">COUNTIFS(Log!$V$6:$V$305,"OVER*")+COUNTIFS(Log!$V$6:$V$305,"DUE*")+COUNTIFS(Log!$V$6:$V$305,"REPORT*")+COUNTIFS(Log!$V$6:$V$305,"CHECK*")+COUNTIFS(Log!$V$6:$V$305,"Decide*")</f>
        <v>0</v>
      </c>
    </row>
    <row r="18" customFormat="false" ht="15" hidden="false" customHeight="false" outlineLevel="0" collapsed="false">
      <c r="A18" s="57" t="s">
        <v>244</v>
      </c>
      <c r="B18" s="5"/>
      <c r="C18" s="5"/>
      <c r="D18" s="5"/>
      <c r="E18" s="5"/>
      <c r="F18" s="5"/>
      <c r="G18" s="5"/>
      <c r="H18" s="5"/>
    </row>
    <row r="19" customFormat="false" ht="30" hidden="false" customHeight="true" outlineLevel="0" collapsed="false">
      <c r="A19" s="25" t="s">
        <v>224</v>
      </c>
      <c r="B19" s="25" t="s">
        <v>236</v>
      </c>
      <c r="C19" s="25" t="s">
        <v>245</v>
      </c>
      <c r="D19" s="25"/>
      <c r="E19" s="25"/>
      <c r="F19" s="25"/>
      <c r="G19" s="25"/>
      <c r="H19" s="25"/>
      <c r="J19" s="58" t="s">
        <v>246</v>
      </c>
      <c r="K19" s="58"/>
      <c r="L19" s="58"/>
      <c r="M19" s="58"/>
      <c r="N19" s="58"/>
      <c r="O19" s="58"/>
      <c r="P19" s="58"/>
      <c r="Q19" s="58"/>
    </row>
    <row r="20" customFormat="false" ht="18" hidden="false" customHeight="true" outlineLevel="0" collapsed="false">
      <c r="A20" s="59" t="n">
        <v>2022</v>
      </c>
      <c r="B20" s="60"/>
      <c r="C20" s="61" t="s">
        <v>247</v>
      </c>
      <c r="D20" s="61"/>
      <c r="E20" s="61"/>
      <c r="F20" s="61"/>
      <c r="G20" s="61"/>
      <c r="H20" s="61"/>
      <c r="J20" s="58"/>
      <c r="K20" s="58"/>
      <c r="L20" s="58"/>
      <c r="M20" s="58"/>
      <c r="N20" s="58"/>
      <c r="O20" s="58"/>
      <c r="P20" s="58"/>
      <c r="Q20" s="58"/>
    </row>
    <row r="21" customFormat="false" ht="18" hidden="false" customHeight="true" outlineLevel="0" collapsed="false">
      <c r="A21" s="59" t="n">
        <v>2023</v>
      </c>
      <c r="B21" s="60"/>
      <c r="C21" s="62"/>
      <c r="D21" s="62"/>
      <c r="E21" s="62"/>
      <c r="F21" s="62"/>
      <c r="G21" s="62"/>
      <c r="H21" s="62"/>
      <c r="J21" s="58"/>
      <c r="K21" s="58"/>
      <c r="L21" s="58"/>
      <c r="M21" s="58"/>
      <c r="N21" s="58"/>
      <c r="O21" s="58"/>
      <c r="P21" s="58"/>
      <c r="Q21" s="58"/>
    </row>
    <row r="22" customFormat="false" ht="18" hidden="false" customHeight="true" outlineLevel="0" collapsed="false">
      <c r="A22" s="59" t="n">
        <v>2024</v>
      </c>
      <c r="B22" s="60"/>
      <c r="C22" s="62"/>
      <c r="D22" s="62"/>
      <c r="E22" s="62"/>
      <c r="F22" s="62"/>
      <c r="G22" s="62"/>
      <c r="H22" s="62"/>
      <c r="J22" s="58" t="s">
        <v>248</v>
      </c>
      <c r="K22" s="58"/>
      <c r="L22" s="58"/>
      <c r="M22" s="58"/>
      <c r="N22" s="58"/>
      <c r="O22" s="58"/>
      <c r="P22" s="58"/>
      <c r="Q22" s="58"/>
    </row>
    <row r="23" customFormat="false" ht="18" hidden="false" customHeight="true" outlineLevel="0" collapsed="false">
      <c r="A23" s="59" t="n">
        <v>2025</v>
      </c>
      <c r="B23" s="60"/>
      <c r="C23" s="62"/>
      <c r="D23" s="62"/>
      <c r="E23" s="62"/>
      <c r="F23" s="62"/>
      <c r="G23" s="62"/>
      <c r="H23" s="62"/>
      <c r="J23" s="58"/>
      <c r="K23" s="58"/>
      <c r="L23" s="58"/>
      <c r="M23" s="58"/>
      <c r="N23" s="58"/>
      <c r="O23" s="58"/>
      <c r="P23" s="58"/>
      <c r="Q23" s="58"/>
    </row>
    <row r="24" customFormat="false" ht="18" hidden="false" customHeight="true" outlineLevel="0" collapsed="false">
      <c r="A24" s="59" t="n">
        <v>2026</v>
      </c>
      <c r="B24" s="60"/>
      <c r="C24" s="62"/>
      <c r="D24" s="62"/>
      <c r="E24" s="62"/>
      <c r="F24" s="62"/>
      <c r="G24" s="62"/>
      <c r="H24" s="62"/>
      <c r="J24" s="58" t="s">
        <v>249</v>
      </c>
      <c r="K24" s="58"/>
      <c r="L24" s="58"/>
      <c r="M24" s="58"/>
      <c r="N24" s="58"/>
      <c r="O24" s="58"/>
      <c r="P24" s="58"/>
      <c r="Q24" s="58"/>
    </row>
    <row r="25" customFormat="false" ht="18" hidden="false" customHeight="true" outlineLevel="0" collapsed="false">
      <c r="A25" s="59"/>
      <c r="B25" s="60"/>
      <c r="C25" s="62"/>
      <c r="D25" s="62"/>
      <c r="E25" s="62"/>
      <c r="F25" s="62"/>
      <c r="G25" s="62"/>
      <c r="H25" s="62"/>
      <c r="J25" s="58"/>
      <c r="K25" s="58"/>
      <c r="L25" s="58"/>
      <c r="M25" s="58"/>
      <c r="N25" s="58"/>
      <c r="O25" s="58"/>
      <c r="P25" s="58"/>
      <c r="Q25" s="58"/>
    </row>
    <row r="26" customFormat="false" ht="18" hidden="false" customHeight="true" outlineLevel="0" collapsed="false">
      <c r="A26" s="59"/>
      <c r="B26" s="60"/>
      <c r="C26" s="62"/>
      <c r="D26" s="62"/>
      <c r="E26" s="62"/>
      <c r="F26" s="62"/>
      <c r="G26" s="62"/>
      <c r="H26" s="62"/>
      <c r="J26" s="58" t="s">
        <v>250</v>
      </c>
      <c r="K26" s="58"/>
      <c r="L26" s="58"/>
      <c r="M26" s="58"/>
      <c r="N26" s="58"/>
      <c r="O26" s="58"/>
      <c r="P26" s="58"/>
      <c r="Q26" s="58"/>
    </row>
    <row r="27" customFormat="false" ht="18" hidden="false" customHeight="true" outlineLevel="0" collapsed="false">
      <c r="A27" s="59"/>
      <c r="B27" s="60"/>
      <c r="C27" s="62"/>
      <c r="D27" s="62"/>
      <c r="E27" s="62"/>
      <c r="F27" s="62"/>
      <c r="G27" s="62"/>
      <c r="H27" s="62"/>
      <c r="J27" s="58"/>
      <c r="K27" s="58"/>
      <c r="L27" s="58"/>
      <c r="M27" s="58"/>
      <c r="N27" s="58"/>
      <c r="O27" s="58"/>
      <c r="P27" s="58"/>
      <c r="Q27" s="58"/>
    </row>
    <row r="28" customFormat="false" ht="18" hidden="false" customHeight="true" outlineLevel="0" collapsed="false">
      <c r="A28" s="59"/>
      <c r="B28" s="60"/>
      <c r="C28" s="62"/>
      <c r="D28" s="62"/>
      <c r="E28" s="62"/>
      <c r="F28" s="62"/>
      <c r="G28" s="62"/>
      <c r="H28" s="62"/>
    </row>
    <row r="29" customFormat="false" ht="18" hidden="false" customHeight="true" outlineLevel="0" collapsed="false">
      <c r="A29" s="59"/>
      <c r="B29" s="60"/>
      <c r="C29" s="62"/>
      <c r="D29" s="62"/>
      <c r="E29" s="62"/>
      <c r="F29" s="62"/>
      <c r="G29" s="62"/>
      <c r="H29" s="62"/>
    </row>
    <row r="31" customFormat="false" ht="15" hidden="false" customHeight="false" outlineLevel="0" collapsed="false">
      <c r="A31" s="57" t="s">
        <v>251</v>
      </c>
      <c r="B31" s="5"/>
      <c r="C31" s="5"/>
      <c r="D31" s="5"/>
      <c r="E31" s="5"/>
      <c r="F31" s="5"/>
      <c r="G31" s="5"/>
      <c r="H31" s="5"/>
      <c r="I31" s="5"/>
      <c r="J31" s="5"/>
      <c r="K31" s="5"/>
      <c r="L31" s="5"/>
      <c r="M31" s="5"/>
      <c r="N31" s="5"/>
      <c r="O31" s="5"/>
      <c r="P31" s="5"/>
      <c r="Q31" s="5"/>
    </row>
  </sheetData>
  <mergeCells count="25">
    <mergeCell ref="A1:C1"/>
    <mergeCell ref="D1:P1"/>
    <mergeCell ref="A2:S2"/>
    <mergeCell ref="C4:J4"/>
    <mergeCell ref="B5:I5"/>
    <mergeCell ref="J5:N5"/>
    <mergeCell ref="O5:Q5"/>
    <mergeCell ref="A14:C14"/>
    <mergeCell ref="E14:G14"/>
    <mergeCell ref="I14:K14"/>
    <mergeCell ref="C19:H19"/>
    <mergeCell ref="J19:Q21"/>
    <mergeCell ref="C20:H20"/>
    <mergeCell ref="C21:H21"/>
    <mergeCell ref="C22:H22"/>
    <mergeCell ref="J22:Q23"/>
    <mergeCell ref="C23:H23"/>
    <mergeCell ref="C24:H24"/>
    <mergeCell ref="J24:Q25"/>
    <mergeCell ref="C25:H25"/>
    <mergeCell ref="C26:H26"/>
    <mergeCell ref="J26:Q27"/>
    <mergeCell ref="C27:H27"/>
    <mergeCell ref="C28:H28"/>
    <mergeCell ref="C29:H29"/>
  </mergeCells>
  <dataValidations count="3">
    <dataValidation allowBlank="false" error="Enter a year, e.g. 2026." errorStyle="stop" operator="between" showDropDown="false" showErrorMessage="true" showInputMessage="false" sqref="B4" type="whole">
      <formula1>2000</formula1>
      <formula2>2100</formula2>
    </dataValidation>
    <dataValidation allowBlank="true" error="Enter hours as a number, e.g. 12500." errorStyle="stop" operator="greaterThanOrEqual" showDropDown="false" showErrorMessage="true" showInputMessage="false" sqref="B20:B29" type="decimal">
      <formula1>0</formula1>
      <formula2>0</formula2>
    </dataValidation>
    <dataValidation allowBlank="true" error="Enter a year, e.g. 2026." errorStyle="stop" operator="between" showDropDown="false" showErrorMessage="true" showInputMessage="false" sqref="A20:A29" type="whole">
      <formula1>2000</formula1>
      <formula2>2100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&amp;L&amp;"Aptos,Regular"&amp;8[COMPANY NAME] – Incident, Accident and Near Miss Register – ARB-INC-01 – Version 2.0&amp;R&amp;"Aptos,Regular"&amp;8Page &amp;P of &amp;N  ·  Not controlled when printed</oddFooter>
  </headerFooter>
  <rowBreaks count="1" manualBreakCount="1">
    <brk id="30" man="true" max="16383" min="0"/>
  </row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3"/>
    <col collapsed="false" customWidth="true" hidden="false" outlineLevel="0" max="3" min="3" style="0" width="15"/>
    <col collapsed="false" customWidth="true" hidden="false" outlineLevel="0" max="4" min="4" style="0" width="11"/>
    <col collapsed="false" customWidth="true" hidden="false" outlineLevel="0" max="5" min="5" style="0" width="34"/>
    <col collapsed="false" customWidth="true" hidden="false" outlineLevel="0" max="6" min="6" style="0" width="32"/>
    <col collapsed="false" customWidth="true" hidden="false" outlineLevel="0" max="7" min="7" style="0" width="28"/>
    <col collapsed="false" customWidth="true" hidden="false" outlineLevel="0" max="8" min="8" style="0" width="15"/>
    <col collapsed="false" customWidth="true" hidden="false" outlineLevel="0" max="9" min="9" style="0" width="11"/>
    <col collapsed="false" customWidth="true" hidden="false" outlineLevel="0" max="10" min="10" style="0" width="15"/>
    <col collapsed="false" customWidth="true" hidden="false" outlineLevel="0" max="11" min="11" style="0" width="12"/>
    <col collapsed="false" customWidth="true" hidden="false" outlineLevel="0" max="12" min="12" style="0" width="11"/>
    <col collapsed="false" customWidth="true" hidden="true" outlineLevel="0" max="13" min="13" style="0" width="5"/>
  </cols>
  <sheetData>
    <row r="1" customFormat="false" ht="19.7" hidden="false" customHeight="false" outlineLevel="0" collapsed="false">
      <c r="A1" s="21" t="s">
        <v>0</v>
      </c>
      <c r="B1" s="21"/>
      <c r="C1" s="21"/>
      <c r="D1" s="22" t="str">
        <f aca="false">'Start here'!$C$6&amp;"  –  OPEN CORRECTIVE ACTIONS"</f>
        <v>[COMPANY NAME]  –  OPEN CORRECTIVE ACTIONS</v>
      </c>
      <c r="E1" s="22"/>
      <c r="F1" s="22"/>
      <c r="G1" s="22"/>
      <c r="H1" s="22"/>
      <c r="I1" s="22"/>
      <c r="J1" s="22"/>
      <c r="K1" s="22"/>
      <c r="L1" s="22"/>
    </row>
    <row r="2" customFormat="false" ht="25.5" hidden="false" customHeight="true" outlineLevel="0" collapsed="false">
      <c r="A2" s="58" t="s">
        <v>252</v>
      </c>
      <c r="B2" s="58"/>
      <c r="C2" s="58"/>
      <c r="D2" s="58"/>
      <c r="E2" s="58"/>
      <c r="F2" s="58"/>
      <c r="G2" s="58"/>
      <c r="H2" s="58"/>
      <c r="I2" s="58"/>
      <c r="J2" s="58"/>
      <c r="K2" s="58"/>
      <c r="L2" s="58"/>
    </row>
    <row r="3" customFormat="false" ht="15" hidden="false" customHeight="false" outlineLevel="0" collapsed="false">
      <c r="A3" s="63" t="str">
        <f aca="false">"Open: "&amp;COUNT(Log!$AM$6:$AM$305)&amp;"   ·   Overdue: "&amp;COUNTIFS(Log!$AI$6:$AI$305,"OVERDUE")&amp;"   ·   Due soon: "&amp;COUNTIFS(Log!$AI$6:$AI$305,"Due soon")</f>
        <v>Open: 0   ·   Overdue: 0   ·   Due soon: 0</v>
      </c>
      <c r="B3" s="63"/>
      <c r="C3" s="63"/>
      <c r="D3" s="63"/>
      <c r="E3" s="63"/>
      <c r="F3" s="63"/>
      <c r="G3" s="63"/>
      <c r="H3" s="63"/>
      <c r="I3" s="63"/>
      <c r="J3" s="63"/>
      <c r="K3" s="63"/>
      <c r="L3" s="63"/>
    </row>
    <row r="5" customFormat="false" ht="31.5" hidden="false" customHeight="true" outlineLevel="0" collapsed="false">
      <c r="A5" s="25" t="s">
        <v>253</v>
      </c>
      <c r="B5" s="25" t="s">
        <v>141</v>
      </c>
      <c r="C5" s="25" t="s">
        <v>142</v>
      </c>
      <c r="D5" s="25" t="s">
        <v>143</v>
      </c>
      <c r="E5" s="25" t="s">
        <v>254</v>
      </c>
      <c r="F5" s="25" t="s">
        <v>170</v>
      </c>
      <c r="G5" s="25" t="s">
        <v>255</v>
      </c>
      <c r="H5" s="25" t="s">
        <v>172</v>
      </c>
      <c r="I5" s="25" t="s">
        <v>256</v>
      </c>
      <c r="J5" s="25" t="s">
        <v>174</v>
      </c>
      <c r="K5" s="25" t="s">
        <v>175</v>
      </c>
      <c r="L5" s="25" t="s">
        <v>257</v>
      </c>
      <c r="M5" s="25" t="s">
        <v>258</v>
      </c>
    </row>
    <row r="6" customFormat="false" ht="30" hidden="false" customHeight="true" outlineLevel="0" collapsed="false">
      <c r="A6" s="64" t="str">
        <f aca="false">IF($M6="","",1)</f>
        <v/>
      </c>
      <c r="B6" s="65" t="str">
        <f aca="false">IF($M6="","",IF(INDEX(Log!$A:$A,$M6)="","",INDEX(Log!$A:$A,$M6)))</f>
        <v/>
      </c>
      <c r="C6" s="65" t="str">
        <f aca="false">IF($M6="","",IF(INDEX(Log!$B:$B,$M6)="","",INDEX(Log!$B:$B,$M6)))</f>
        <v/>
      </c>
      <c r="D6" s="66" t="str">
        <f aca="false">IF($M6="","",IF(INDEX(Log!$C:$C,$M6)="","",INDEX(Log!$C:$C,$M6)))</f>
        <v/>
      </c>
      <c r="E6" s="65" t="str">
        <f aca="false">IF($M6="","",IF(INDEX(Log!$K:$K,$M6)="","",INDEX(Log!$K:$K,$M6)))</f>
        <v/>
      </c>
      <c r="F6" s="65" t="str">
        <f aca="false">IF($M6="","",IF(INDEX(Log!$AD:$AD,$M6)="","",INDEX(Log!$AD:$AD,$M6)))</f>
        <v/>
      </c>
      <c r="G6" s="65" t="str">
        <f aca="false">IF($M6="","",IF(INDEX(Log!$AE:$AE,$M6)="","",INDEX(Log!$AE:$AE,$M6)))</f>
        <v/>
      </c>
      <c r="H6" s="65" t="str">
        <f aca="false">IF($M6="","",IF(INDEX(Log!$AF:$AF,$M6)="","",INDEX(Log!$AF:$AF,$M6)))</f>
        <v/>
      </c>
      <c r="I6" s="66" t="str">
        <f aca="false">IF($M6="","",IF(INDEX(Log!$AG:$AG,$M6)="","",INDEX(Log!$AG:$AG,$M6)))</f>
        <v/>
      </c>
      <c r="J6" s="65" t="str">
        <f aca="false">IF($M6="","",IF(INDEX(Log!$AH:$AH,$M6)="","",INDEX(Log!$AH:$AH,$M6)))</f>
        <v/>
      </c>
      <c r="K6" s="64" t="str">
        <f aca="false">IF($M6="","",IF(INDEX(Log!$AI:$AI,$M6)="","",INDEX(Log!$AI:$AI,$M6)))</f>
        <v/>
      </c>
      <c r="L6" s="65" t="str">
        <f aca="false">IF($M6="","",IF(INDEX(Log!$AJ:$AJ,$M6)="","",INDEX(Log!$AJ:$AJ,$M6)))</f>
        <v/>
      </c>
      <c r="M6" s="65" t="str">
        <f aca="false">IFERROR(SMALL(Log!$AM$6:$AM$305,1),"")</f>
        <v/>
      </c>
    </row>
    <row r="7" customFormat="false" ht="30" hidden="false" customHeight="true" outlineLevel="0" collapsed="false">
      <c r="A7" s="67" t="str">
        <f aca="false">IF($M7="","",2)</f>
        <v/>
      </c>
      <c r="B7" s="68" t="str">
        <f aca="false">IF($M7="","",IF(INDEX(Log!$A:$A,$M7)="","",INDEX(Log!$A:$A,$M7)))</f>
        <v/>
      </c>
      <c r="C7" s="68" t="str">
        <f aca="false">IF($M7="","",IF(INDEX(Log!$B:$B,$M7)="","",INDEX(Log!$B:$B,$M7)))</f>
        <v/>
      </c>
      <c r="D7" s="69" t="str">
        <f aca="false">IF($M7="","",IF(INDEX(Log!$C:$C,$M7)="","",INDEX(Log!$C:$C,$M7)))</f>
        <v/>
      </c>
      <c r="E7" s="68" t="str">
        <f aca="false">IF($M7="","",IF(INDEX(Log!$K:$K,$M7)="","",INDEX(Log!$K:$K,$M7)))</f>
        <v/>
      </c>
      <c r="F7" s="68" t="str">
        <f aca="false">IF($M7="","",IF(INDEX(Log!$AD:$AD,$M7)="","",INDEX(Log!$AD:$AD,$M7)))</f>
        <v/>
      </c>
      <c r="G7" s="68" t="str">
        <f aca="false">IF($M7="","",IF(INDEX(Log!$AE:$AE,$M7)="","",INDEX(Log!$AE:$AE,$M7)))</f>
        <v/>
      </c>
      <c r="H7" s="68" t="str">
        <f aca="false">IF($M7="","",IF(INDEX(Log!$AF:$AF,$M7)="","",INDEX(Log!$AF:$AF,$M7)))</f>
        <v/>
      </c>
      <c r="I7" s="69" t="str">
        <f aca="false">IF($M7="","",IF(INDEX(Log!$AG:$AG,$M7)="","",INDEX(Log!$AG:$AG,$M7)))</f>
        <v/>
      </c>
      <c r="J7" s="68" t="str">
        <f aca="false">IF($M7="","",IF(INDEX(Log!$AH:$AH,$M7)="","",INDEX(Log!$AH:$AH,$M7)))</f>
        <v/>
      </c>
      <c r="K7" s="67" t="str">
        <f aca="false">IF($M7="","",IF(INDEX(Log!$AI:$AI,$M7)="","",INDEX(Log!$AI:$AI,$M7)))</f>
        <v/>
      </c>
      <c r="L7" s="68" t="str">
        <f aca="false">IF($M7="","",IF(INDEX(Log!$AJ:$AJ,$M7)="","",INDEX(Log!$AJ:$AJ,$M7)))</f>
        <v/>
      </c>
      <c r="M7" s="68" t="str">
        <f aca="false">IFERROR(SMALL(Log!$AM$6:$AM$305,2),"")</f>
        <v/>
      </c>
    </row>
    <row r="8" customFormat="false" ht="30" hidden="false" customHeight="true" outlineLevel="0" collapsed="false">
      <c r="A8" s="64" t="str">
        <f aca="false">IF($M8="","",3)</f>
        <v/>
      </c>
      <c r="B8" s="65" t="str">
        <f aca="false">IF($M8="","",IF(INDEX(Log!$A:$A,$M8)="","",INDEX(Log!$A:$A,$M8)))</f>
        <v/>
      </c>
      <c r="C8" s="65" t="str">
        <f aca="false">IF($M8="","",IF(INDEX(Log!$B:$B,$M8)="","",INDEX(Log!$B:$B,$M8)))</f>
        <v/>
      </c>
      <c r="D8" s="66" t="str">
        <f aca="false">IF($M8="","",IF(INDEX(Log!$C:$C,$M8)="","",INDEX(Log!$C:$C,$M8)))</f>
        <v/>
      </c>
      <c r="E8" s="65" t="str">
        <f aca="false">IF($M8="","",IF(INDEX(Log!$K:$K,$M8)="","",INDEX(Log!$K:$K,$M8)))</f>
        <v/>
      </c>
      <c r="F8" s="65" t="str">
        <f aca="false">IF($M8="","",IF(INDEX(Log!$AD:$AD,$M8)="","",INDEX(Log!$AD:$AD,$M8)))</f>
        <v/>
      </c>
      <c r="G8" s="65" t="str">
        <f aca="false">IF($M8="","",IF(INDEX(Log!$AE:$AE,$M8)="","",INDEX(Log!$AE:$AE,$M8)))</f>
        <v/>
      </c>
      <c r="H8" s="65" t="str">
        <f aca="false">IF($M8="","",IF(INDEX(Log!$AF:$AF,$M8)="","",INDEX(Log!$AF:$AF,$M8)))</f>
        <v/>
      </c>
      <c r="I8" s="66" t="str">
        <f aca="false">IF($M8="","",IF(INDEX(Log!$AG:$AG,$M8)="","",INDEX(Log!$AG:$AG,$M8)))</f>
        <v/>
      </c>
      <c r="J8" s="65" t="str">
        <f aca="false">IF($M8="","",IF(INDEX(Log!$AH:$AH,$M8)="","",INDEX(Log!$AH:$AH,$M8)))</f>
        <v/>
      </c>
      <c r="K8" s="64" t="str">
        <f aca="false">IF($M8="","",IF(INDEX(Log!$AI:$AI,$M8)="","",INDEX(Log!$AI:$AI,$M8)))</f>
        <v/>
      </c>
      <c r="L8" s="65" t="str">
        <f aca="false">IF($M8="","",IF(INDEX(Log!$AJ:$AJ,$M8)="","",INDEX(Log!$AJ:$AJ,$M8)))</f>
        <v/>
      </c>
      <c r="M8" s="65" t="str">
        <f aca="false">IFERROR(SMALL(Log!$AM$6:$AM$305,3),"")</f>
        <v/>
      </c>
    </row>
    <row r="9" customFormat="false" ht="30" hidden="false" customHeight="true" outlineLevel="0" collapsed="false">
      <c r="A9" s="67" t="str">
        <f aca="false">IF($M9="","",4)</f>
        <v/>
      </c>
      <c r="B9" s="68" t="str">
        <f aca="false">IF($M9="","",IF(INDEX(Log!$A:$A,$M9)="","",INDEX(Log!$A:$A,$M9)))</f>
        <v/>
      </c>
      <c r="C9" s="68" t="str">
        <f aca="false">IF($M9="","",IF(INDEX(Log!$B:$B,$M9)="","",INDEX(Log!$B:$B,$M9)))</f>
        <v/>
      </c>
      <c r="D9" s="69" t="str">
        <f aca="false">IF($M9="","",IF(INDEX(Log!$C:$C,$M9)="","",INDEX(Log!$C:$C,$M9)))</f>
        <v/>
      </c>
      <c r="E9" s="68" t="str">
        <f aca="false">IF($M9="","",IF(INDEX(Log!$K:$K,$M9)="","",INDEX(Log!$K:$K,$M9)))</f>
        <v/>
      </c>
      <c r="F9" s="68" t="str">
        <f aca="false">IF($M9="","",IF(INDEX(Log!$AD:$AD,$M9)="","",INDEX(Log!$AD:$AD,$M9)))</f>
        <v/>
      </c>
      <c r="G9" s="68" t="str">
        <f aca="false">IF($M9="","",IF(INDEX(Log!$AE:$AE,$M9)="","",INDEX(Log!$AE:$AE,$M9)))</f>
        <v/>
      </c>
      <c r="H9" s="68" t="str">
        <f aca="false">IF($M9="","",IF(INDEX(Log!$AF:$AF,$M9)="","",INDEX(Log!$AF:$AF,$M9)))</f>
        <v/>
      </c>
      <c r="I9" s="69" t="str">
        <f aca="false">IF($M9="","",IF(INDEX(Log!$AG:$AG,$M9)="","",INDEX(Log!$AG:$AG,$M9)))</f>
        <v/>
      </c>
      <c r="J9" s="68" t="str">
        <f aca="false">IF($M9="","",IF(INDEX(Log!$AH:$AH,$M9)="","",INDEX(Log!$AH:$AH,$M9)))</f>
        <v/>
      </c>
      <c r="K9" s="67" t="str">
        <f aca="false">IF($M9="","",IF(INDEX(Log!$AI:$AI,$M9)="","",INDEX(Log!$AI:$AI,$M9)))</f>
        <v/>
      </c>
      <c r="L9" s="68" t="str">
        <f aca="false">IF($M9="","",IF(INDEX(Log!$AJ:$AJ,$M9)="","",INDEX(Log!$AJ:$AJ,$M9)))</f>
        <v/>
      </c>
      <c r="M9" s="68" t="str">
        <f aca="false">IFERROR(SMALL(Log!$AM$6:$AM$305,4),"")</f>
        <v/>
      </c>
    </row>
    <row r="10" customFormat="false" ht="30" hidden="false" customHeight="true" outlineLevel="0" collapsed="false">
      <c r="A10" s="64" t="str">
        <f aca="false">IF($M10="","",5)</f>
        <v/>
      </c>
      <c r="B10" s="65" t="str">
        <f aca="false">IF($M10="","",IF(INDEX(Log!$A:$A,$M10)="","",INDEX(Log!$A:$A,$M10)))</f>
        <v/>
      </c>
      <c r="C10" s="65" t="str">
        <f aca="false">IF($M10="","",IF(INDEX(Log!$B:$B,$M10)="","",INDEX(Log!$B:$B,$M10)))</f>
        <v/>
      </c>
      <c r="D10" s="66" t="str">
        <f aca="false">IF($M10="","",IF(INDEX(Log!$C:$C,$M10)="","",INDEX(Log!$C:$C,$M10)))</f>
        <v/>
      </c>
      <c r="E10" s="65" t="str">
        <f aca="false">IF($M10="","",IF(INDEX(Log!$K:$K,$M10)="","",INDEX(Log!$K:$K,$M10)))</f>
        <v/>
      </c>
      <c r="F10" s="65" t="str">
        <f aca="false">IF($M10="","",IF(INDEX(Log!$AD:$AD,$M10)="","",INDEX(Log!$AD:$AD,$M10)))</f>
        <v/>
      </c>
      <c r="G10" s="65" t="str">
        <f aca="false">IF($M10="","",IF(INDEX(Log!$AE:$AE,$M10)="","",INDEX(Log!$AE:$AE,$M10)))</f>
        <v/>
      </c>
      <c r="H10" s="65" t="str">
        <f aca="false">IF($M10="","",IF(INDEX(Log!$AF:$AF,$M10)="","",INDEX(Log!$AF:$AF,$M10)))</f>
        <v/>
      </c>
      <c r="I10" s="66" t="str">
        <f aca="false">IF($M10="","",IF(INDEX(Log!$AG:$AG,$M10)="","",INDEX(Log!$AG:$AG,$M10)))</f>
        <v/>
      </c>
      <c r="J10" s="65" t="str">
        <f aca="false">IF($M10="","",IF(INDEX(Log!$AH:$AH,$M10)="","",INDEX(Log!$AH:$AH,$M10)))</f>
        <v/>
      </c>
      <c r="K10" s="64" t="str">
        <f aca="false">IF($M10="","",IF(INDEX(Log!$AI:$AI,$M10)="","",INDEX(Log!$AI:$AI,$M10)))</f>
        <v/>
      </c>
      <c r="L10" s="65" t="str">
        <f aca="false">IF($M10="","",IF(INDEX(Log!$AJ:$AJ,$M10)="","",INDEX(Log!$AJ:$AJ,$M10)))</f>
        <v/>
      </c>
      <c r="M10" s="65" t="str">
        <f aca="false">IFERROR(SMALL(Log!$AM$6:$AM$305,5),"")</f>
        <v/>
      </c>
    </row>
    <row r="11" customFormat="false" ht="30" hidden="false" customHeight="true" outlineLevel="0" collapsed="false">
      <c r="A11" s="67" t="str">
        <f aca="false">IF($M11="","",6)</f>
        <v/>
      </c>
      <c r="B11" s="68" t="str">
        <f aca="false">IF($M11="","",IF(INDEX(Log!$A:$A,$M11)="","",INDEX(Log!$A:$A,$M11)))</f>
        <v/>
      </c>
      <c r="C11" s="68" t="str">
        <f aca="false">IF($M11="","",IF(INDEX(Log!$B:$B,$M11)="","",INDEX(Log!$B:$B,$M11)))</f>
        <v/>
      </c>
      <c r="D11" s="69" t="str">
        <f aca="false">IF($M11="","",IF(INDEX(Log!$C:$C,$M11)="","",INDEX(Log!$C:$C,$M11)))</f>
        <v/>
      </c>
      <c r="E11" s="68" t="str">
        <f aca="false">IF($M11="","",IF(INDEX(Log!$K:$K,$M11)="","",INDEX(Log!$K:$K,$M11)))</f>
        <v/>
      </c>
      <c r="F11" s="68" t="str">
        <f aca="false">IF($M11="","",IF(INDEX(Log!$AD:$AD,$M11)="","",INDEX(Log!$AD:$AD,$M11)))</f>
        <v/>
      </c>
      <c r="G11" s="68" t="str">
        <f aca="false">IF($M11="","",IF(INDEX(Log!$AE:$AE,$M11)="","",INDEX(Log!$AE:$AE,$M11)))</f>
        <v/>
      </c>
      <c r="H11" s="68" t="str">
        <f aca="false">IF($M11="","",IF(INDEX(Log!$AF:$AF,$M11)="","",INDEX(Log!$AF:$AF,$M11)))</f>
        <v/>
      </c>
      <c r="I11" s="69" t="str">
        <f aca="false">IF($M11="","",IF(INDEX(Log!$AG:$AG,$M11)="","",INDEX(Log!$AG:$AG,$M11)))</f>
        <v/>
      </c>
      <c r="J11" s="68" t="str">
        <f aca="false">IF($M11="","",IF(INDEX(Log!$AH:$AH,$M11)="","",INDEX(Log!$AH:$AH,$M11)))</f>
        <v/>
      </c>
      <c r="K11" s="67" t="str">
        <f aca="false">IF($M11="","",IF(INDEX(Log!$AI:$AI,$M11)="","",INDEX(Log!$AI:$AI,$M11)))</f>
        <v/>
      </c>
      <c r="L11" s="68" t="str">
        <f aca="false">IF($M11="","",IF(INDEX(Log!$AJ:$AJ,$M11)="","",INDEX(Log!$AJ:$AJ,$M11)))</f>
        <v/>
      </c>
      <c r="M11" s="68" t="str">
        <f aca="false">IFERROR(SMALL(Log!$AM$6:$AM$305,6),"")</f>
        <v/>
      </c>
    </row>
    <row r="12" customFormat="false" ht="30" hidden="false" customHeight="true" outlineLevel="0" collapsed="false">
      <c r="A12" s="64" t="str">
        <f aca="false">IF($M12="","",7)</f>
        <v/>
      </c>
      <c r="B12" s="65" t="str">
        <f aca="false">IF($M12="","",IF(INDEX(Log!$A:$A,$M12)="","",INDEX(Log!$A:$A,$M12)))</f>
        <v/>
      </c>
      <c r="C12" s="65" t="str">
        <f aca="false">IF($M12="","",IF(INDEX(Log!$B:$B,$M12)="","",INDEX(Log!$B:$B,$M12)))</f>
        <v/>
      </c>
      <c r="D12" s="66" t="str">
        <f aca="false">IF($M12="","",IF(INDEX(Log!$C:$C,$M12)="","",INDEX(Log!$C:$C,$M12)))</f>
        <v/>
      </c>
      <c r="E12" s="65" t="str">
        <f aca="false">IF($M12="","",IF(INDEX(Log!$K:$K,$M12)="","",INDEX(Log!$K:$K,$M12)))</f>
        <v/>
      </c>
      <c r="F12" s="65" t="str">
        <f aca="false">IF($M12="","",IF(INDEX(Log!$AD:$AD,$M12)="","",INDEX(Log!$AD:$AD,$M12)))</f>
        <v/>
      </c>
      <c r="G12" s="65" t="str">
        <f aca="false">IF($M12="","",IF(INDEX(Log!$AE:$AE,$M12)="","",INDEX(Log!$AE:$AE,$M12)))</f>
        <v/>
      </c>
      <c r="H12" s="65" t="str">
        <f aca="false">IF($M12="","",IF(INDEX(Log!$AF:$AF,$M12)="","",INDEX(Log!$AF:$AF,$M12)))</f>
        <v/>
      </c>
      <c r="I12" s="66" t="str">
        <f aca="false">IF($M12="","",IF(INDEX(Log!$AG:$AG,$M12)="","",INDEX(Log!$AG:$AG,$M12)))</f>
        <v/>
      </c>
      <c r="J12" s="65" t="str">
        <f aca="false">IF($M12="","",IF(INDEX(Log!$AH:$AH,$M12)="","",INDEX(Log!$AH:$AH,$M12)))</f>
        <v/>
      </c>
      <c r="K12" s="64" t="str">
        <f aca="false">IF($M12="","",IF(INDEX(Log!$AI:$AI,$M12)="","",INDEX(Log!$AI:$AI,$M12)))</f>
        <v/>
      </c>
      <c r="L12" s="65" t="str">
        <f aca="false">IF($M12="","",IF(INDEX(Log!$AJ:$AJ,$M12)="","",INDEX(Log!$AJ:$AJ,$M12)))</f>
        <v/>
      </c>
      <c r="M12" s="65" t="str">
        <f aca="false">IFERROR(SMALL(Log!$AM$6:$AM$305,7),"")</f>
        <v/>
      </c>
    </row>
    <row r="13" customFormat="false" ht="30" hidden="false" customHeight="true" outlineLevel="0" collapsed="false">
      <c r="A13" s="67" t="str">
        <f aca="false">IF($M13="","",8)</f>
        <v/>
      </c>
      <c r="B13" s="68" t="str">
        <f aca="false">IF($M13="","",IF(INDEX(Log!$A:$A,$M13)="","",INDEX(Log!$A:$A,$M13)))</f>
        <v/>
      </c>
      <c r="C13" s="68" t="str">
        <f aca="false">IF($M13="","",IF(INDEX(Log!$B:$B,$M13)="","",INDEX(Log!$B:$B,$M13)))</f>
        <v/>
      </c>
      <c r="D13" s="69" t="str">
        <f aca="false">IF($M13="","",IF(INDEX(Log!$C:$C,$M13)="","",INDEX(Log!$C:$C,$M13)))</f>
        <v/>
      </c>
      <c r="E13" s="68" t="str">
        <f aca="false">IF($M13="","",IF(INDEX(Log!$K:$K,$M13)="","",INDEX(Log!$K:$K,$M13)))</f>
        <v/>
      </c>
      <c r="F13" s="68" t="str">
        <f aca="false">IF($M13="","",IF(INDEX(Log!$AD:$AD,$M13)="","",INDEX(Log!$AD:$AD,$M13)))</f>
        <v/>
      </c>
      <c r="G13" s="68" t="str">
        <f aca="false">IF($M13="","",IF(INDEX(Log!$AE:$AE,$M13)="","",INDEX(Log!$AE:$AE,$M13)))</f>
        <v/>
      </c>
      <c r="H13" s="68" t="str">
        <f aca="false">IF($M13="","",IF(INDEX(Log!$AF:$AF,$M13)="","",INDEX(Log!$AF:$AF,$M13)))</f>
        <v/>
      </c>
      <c r="I13" s="69" t="str">
        <f aca="false">IF($M13="","",IF(INDEX(Log!$AG:$AG,$M13)="","",INDEX(Log!$AG:$AG,$M13)))</f>
        <v/>
      </c>
      <c r="J13" s="68" t="str">
        <f aca="false">IF($M13="","",IF(INDEX(Log!$AH:$AH,$M13)="","",INDEX(Log!$AH:$AH,$M13)))</f>
        <v/>
      </c>
      <c r="K13" s="67" t="str">
        <f aca="false">IF($M13="","",IF(INDEX(Log!$AI:$AI,$M13)="","",INDEX(Log!$AI:$AI,$M13)))</f>
        <v/>
      </c>
      <c r="L13" s="68" t="str">
        <f aca="false">IF($M13="","",IF(INDEX(Log!$AJ:$AJ,$M13)="","",INDEX(Log!$AJ:$AJ,$M13)))</f>
        <v/>
      </c>
      <c r="M13" s="68" t="str">
        <f aca="false">IFERROR(SMALL(Log!$AM$6:$AM$305,8),"")</f>
        <v/>
      </c>
    </row>
    <row r="14" customFormat="false" ht="30" hidden="false" customHeight="true" outlineLevel="0" collapsed="false">
      <c r="A14" s="64" t="str">
        <f aca="false">IF($M14="","",9)</f>
        <v/>
      </c>
      <c r="B14" s="65" t="str">
        <f aca="false">IF($M14="","",IF(INDEX(Log!$A:$A,$M14)="","",INDEX(Log!$A:$A,$M14)))</f>
        <v/>
      </c>
      <c r="C14" s="65" t="str">
        <f aca="false">IF($M14="","",IF(INDEX(Log!$B:$B,$M14)="","",INDEX(Log!$B:$B,$M14)))</f>
        <v/>
      </c>
      <c r="D14" s="66" t="str">
        <f aca="false">IF($M14="","",IF(INDEX(Log!$C:$C,$M14)="","",INDEX(Log!$C:$C,$M14)))</f>
        <v/>
      </c>
      <c r="E14" s="65" t="str">
        <f aca="false">IF($M14="","",IF(INDEX(Log!$K:$K,$M14)="","",INDEX(Log!$K:$K,$M14)))</f>
        <v/>
      </c>
      <c r="F14" s="65" t="str">
        <f aca="false">IF($M14="","",IF(INDEX(Log!$AD:$AD,$M14)="","",INDEX(Log!$AD:$AD,$M14)))</f>
        <v/>
      </c>
      <c r="G14" s="65" t="str">
        <f aca="false">IF($M14="","",IF(INDEX(Log!$AE:$AE,$M14)="","",INDEX(Log!$AE:$AE,$M14)))</f>
        <v/>
      </c>
      <c r="H14" s="65" t="str">
        <f aca="false">IF($M14="","",IF(INDEX(Log!$AF:$AF,$M14)="","",INDEX(Log!$AF:$AF,$M14)))</f>
        <v/>
      </c>
      <c r="I14" s="66" t="str">
        <f aca="false">IF($M14="","",IF(INDEX(Log!$AG:$AG,$M14)="","",INDEX(Log!$AG:$AG,$M14)))</f>
        <v/>
      </c>
      <c r="J14" s="65" t="str">
        <f aca="false">IF($M14="","",IF(INDEX(Log!$AH:$AH,$M14)="","",INDEX(Log!$AH:$AH,$M14)))</f>
        <v/>
      </c>
      <c r="K14" s="64" t="str">
        <f aca="false">IF($M14="","",IF(INDEX(Log!$AI:$AI,$M14)="","",INDEX(Log!$AI:$AI,$M14)))</f>
        <v/>
      </c>
      <c r="L14" s="65" t="str">
        <f aca="false">IF($M14="","",IF(INDEX(Log!$AJ:$AJ,$M14)="","",INDEX(Log!$AJ:$AJ,$M14)))</f>
        <v/>
      </c>
      <c r="M14" s="65" t="str">
        <f aca="false">IFERROR(SMALL(Log!$AM$6:$AM$305,9),"")</f>
        <v/>
      </c>
    </row>
    <row r="15" customFormat="false" ht="30" hidden="false" customHeight="true" outlineLevel="0" collapsed="false">
      <c r="A15" s="67" t="str">
        <f aca="false">IF($M15="","",10)</f>
        <v/>
      </c>
      <c r="B15" s="68" t="str">
        <f aca="false">IF($M15="","",IF(INDEX(Log!$A:$A,$M15)="","",INDEX(Log!$A:$A,$M15)))</f>
        <v/>
      </c>
      <c r="C15" s="68" t="str">
        <f aca="false">IF($M15="","",IF(INDEX(Log!$B:$B,$M15)="","",INDEX(Log!$B:$B,$M15)))</f>
        <v/>
      </c>
      <c r="D15" s="69" t="str">
        <f aca="false">IF($M15="","",IF(INDEX(Log!$C:$C,$M15)="","",INDEX(Log!$C:$C,$M15)))</f>
        <v/>
      </c>
      <c r="E15" s="68" t="str">
        <f aca="false">IF($M15="","",IF(INDEX(Log!$K:$K,$M15)="","",INDEX(Log!$K:$K,$M15)))</f>
        <v/>
      </c>
      <c r="F15" s="68" t="str">
        <f aca="false">IF($M15="","",IF(INDEX(Log!$AD:$AD,$M15)="","",INDEX(Log!$AD:$AD,$M15)))</f>
        <v/>
      </c>
      <c r="G15" s="68" t="str">
        <f aca="false">IF($M15="","",IF(INDEX(Log!$AE:$AE,$M15)="","",INDEX(Log!$AE:$AE,$M15)))</f>
        <v/>
      </c>
      <c r="H15" s="68" t="str">
        <f aca="false">IF($M15="","",IF(INDEX(Log!$AF:$AF,$M15)="","",INDEX(Log!$AF:$AF,$M15)))</f>
        <v/>
      </c>
      <c r="I15" s="69" t="str">
        <f aca="false">IF($M15="","",IF(INDEX(Log!$AG:$AG,$M15)="","",INDEX(Log!$AG:$AG,$M15)))</f>
        <v/>
      </c>
      <c r="J15" s="68" t="str">
        <f aca="false">IF($M15="","",IF(INDEX(Log!$AH:$AH,$M15)="","",INDEX(Log!$AH:$AH,$M15)))</f>
        <v/>
      </c>
      <c r="K15" s="67" t="str">
        <f aca="false">IF($M15="","",IF(INDEX(Log!$AI:$AI,$M15)="","",INDEX(Log!$AI:$AI,$M15)))</f>
        <v/>
      </c>
      <c r="L15" s="68" t="str">
        <f aca="false">IF($M15="","",IF(INDEX(Log!$AJ:$AJ,$M15)="","",INDEX(Log!$AJ:$AJ,$M15)))</f>
        <v/>
      </c>
      <c r="M15" s="68" t="str">
        <f aca="false">IFERROR(SMALL(Log!$AM$6:$AM$305,10),"")</f>
        <v/>
      </c>
    </row>
    <row r="16" customFormat="false" ht="30" hidden="false" customHeight="true" outlineLevel="0" collapsed="false">
      <c r="A16" s="64" t="str">
        <f aca="false">IF($M16="","",11)</f>
        <v/>
      </c>
      <c r="B16" s="65" t="str">
        <f aca="false">IF($M16="","",IF(INDEX(Log!$A:$A,$M16)="","",INDEX(Log!$A:$A,$M16)))</f>
        <v/>
      </c>
      <c r="C16" s="65" t="str">
        <f aca="false">IF($M16="","",IF(INDEX(Log!$B:$B,$M16)="","",INDEX(Log!$B:$B,$M16)))</f>
        <v/>
      </c>
      <c r="D16" s="66" t="str">
        <f aca="false">IF($M16="","",IF(INDEX(Log!$C:$C,$M16)="","",INDEX(Log!$C:$C,$M16)))</f>
        <v/>
      </c>
      <c r="E16" s="65" t="str">
        <f aca="false">IF($M16="","",IF(INDEX(Log!$K:$K,$M16)="","",INDEX(Log!$K:$K,$M16)))</f>
        <v/>
      </c>
      <c r="F16" s="65" t="str">
        <f aca="false">IF($M16="","",IF(INDEX(Log!$AD:$AD,$M16)="","",INDEX(Log!$AD:$AD,$M16)))</f>
        <v/>
      </c>
      <c r="G16" s="65" t="str">
        <f aca="false">IF($M16="","",IF(INDEX(Log!$AE:$AE,$M16)="","",INDEX(Log!$AE:$AE,$M16)))</f>
        <v/>
      </c>
      <c r="H16" s="65" t="str">
        <f aca="false">IF($M16="","",IF(INDEX(Log!$AF:$AF,$M16)="","",INDEX(Log!$AF:$AF,$M16)))</f>
        <v/>
      </c>
      <c r="I16" s="66" t="str">
        <f aca="false">IF($M16="","",IF(INDEX(Log!$AG:$AG,$M16)="","",INDEX(Log!$AG:$AG,$M16)))</f>
        <v/>
      </c>
      <c r="J16" s="65" t="str">
        <f aca="false">IF($M16="","",IF(INDEX(Log!$AH:$AH,$M16)="","",INDEX(Log!$AH:$AH,$M16)))</f>
        <v/>
      </c>
      <c r="K16" s="64" t="str">
        <f aca="false">IF($M16="","",IF(INDEX(Log!$AI:$AI,$M16)="","",INDEX(Log!$AI:$AI,$M16)))</f>
        <v/>
      </c>
      <c r="L16" s="65" t="str">
        <f aca="false">IF($M16="","",IF(INDEX(Log!$AJ:$AJ,$M16)="","",INDEX(Log!$AJ:$AJ,$M16)))</f>
        <v/>
      </c>
      <c r="M16" s="65" t="str">
        <f aca="false">IFERROR(SMALL(Log!$AM$6:$AM$305,11),"")</f>
        <v/>
      </c>
    </row>
    <row r="17" customFormat="false" ht="30" hidden="false" customHeight="true" outlineLevel="0" collapsed="false">
      <c r="A17" s="67" t="str">
        <f aca="false">IF($M17="","",12)</f>
        <v/>
      </c>
      <c r="B17" s="68" t="str">
        <f aca="false">IF($M17="","",IF(INDEX(Log!$A:$A,$M17)="","",INDEX(Log!$A:$A,$M17)))</f>
        <v/>
      </c>
      <c r="C17" s="68" t="str">
        <f aca="false">IF($M17="","",IF(INDEX(Log!$B:$B,$M17)="","",INDEX(Log!$B:$B,$M17)))</f>
        <v/>
      </c>
      <c r="D17" s="69" t="str">
        <f aca="false">IF($M17="","",IF(INDEX(Log!$C:$C,$M17)="","",INDEX(Log!$C:$C,$M17)))</f>
        <v/>
      </c>
      <c r="E17" s="68" t="str">
        <f aca="false">IF($M17="","",IF(INDEX(Log!$K:$K,$M17)="","",INDEX(Log!$K:$K,$M17)))</f>
        <v/>
      </c>
      <c r="F17" s="68" t="str">
        <f aca="false">IF($M17="","",IF(INDEX(Log!$AD:$AD,$M17)="","",INDEX(Log!$AD:$AD,$M17)))</f>
        <v/>
      </c>
      <c r="G17" s="68" t="str">
        <f aca="false">IF($M17="","",IF(INDEX(Log!$AE:$AE,$M17)="","",INDEX(Log!$AE:$AE,$M17)))</f>
        <v/>
      </c>
      <c r="H17" s="68" t="str">
        <f aca="false">IF($M17="","",IF(INDEX(Log!$AF:$AF,$M17)="","",INDEX(Log!$AF:$AF,$M17)))</f>
        <v/>
      </c>
      <c r="I17" s="69" t="str">
        <f aca="false">IF($M17="","",IF(INDEX(Log!$AG:$AG,$M17)="","",INDEX(Log!$AG:$AG,$M17)))</f>
        <v/>
      </c>
      <c r="J17" s="68" t="str">
        <f aca="false">IF($M17="","",IF(INDEX(Log!$AH:$AH,$M17)="","",INDEX(Log!$AH:$AH,$M17)))</f>
        <v/>
      </c>
      <c r="K17" s="67" t="str">
        <f aca="false">IF($M17="","",IF(INDEX(Log!$AI:$AI,$M17)="","",INDEX(Log!$AI:$AI,$M17)))</f>
        <v/>
      </c>
      <c r="L17" s="68" t="str">
        <f aca="false">IF($M17="","",IF(INDEX(Log!$AJ:$AJ,$M17)="","",INDEX(Log!$AJ:$AJ,$M17)))</f>
        <v/>
      </c>
      <c r="M17" s="68" t="str">
        <f aca="false">IFERROR(SMALL(Log!$AM$6:$AM$305,12),"")</f>
        <v/>
      </c>
    </row>
    <row r="18" customFormat="false" ht="30" hidden="false" customHeight="true" outlineLevel="0" collapsed="false">
      <c r="A18" s="64" t="str">
        <f aca="false">IF($M18="","",13)</f>
        <v/>
      </c>
      <c r="B18" s="65" t="str">
        <f aca="false">IF($M18="","",IF(INDEX(Log!$A:$A,$M18)="","",INDEX(Log!$A:$A,$M18)))</f>
        <v/>
      </c>
      <c r="C18" s="65" t="str">
        <f aca="false">IF($M18="","",IF(INDEX(Log!$B:$B,$M18)="","",INDEX(Log!$B:$B,$M18)))</f>
        <v/>
      </c>
      <c r="D18" s="66" t="str">
        <f aca="false">IF($M18="","",IF(INDEX(Log!$C:$C,$M18)="","",INDEX(Log!$C:$C,$M18)))</f>
        <v/>
      </c>
      <c r="E18" s="65" t="str">
        <f aca="false">IF($M18="","",IF(INDEX(Log!$K:$K,$M18)="","",INDEX(Log!$K:$K,$M18)))</f>
        <v/>
      </c>
      <c r="F18" s="65" t="str">
        <f aca="false">IF($M18="","",IF(INDEX(Log!$AD:$AD,$M18)="","",INDEX(Log!$AD:$AD,$M18)))</f>
        <v/>
      </c>
      <c r="G18" s="65" t="str">
        <f aca="false">IF($M18="","",IF(INDEX(Log!$AE:$AE,$M18)="","",INDEX(Log!$AE:$AE,$M18)))</f>
        <v/>
      </c>
      <c r="H18" s="65" t="str">
        <f aca="false">IF($M18="","",IF(INDEX(Log!$AF:$AF,$M18)="","",INDEX(Log!$AF:$AF,$M18)))</f>
        <v/>
      </c>
      <c r="I18" s="66" t="str">
        <f aca="false">IF($M18="","",IF(INDEX(Log!$AG:$AG,$M18)="","",INDEX(Log!$AG:$AG,$M18)))</f>
        <v/>
      </c>
      <c r="J18" s="65" t="str">
        <f aca="false">IF($M18="","",IF(INDEX(Log!$AH:$AH,$M18)="","",INDEX(Log!$AH:$AH,$M18)))</f>
        <v/>
      </c>
      <c r="K18" s="64" t="str">
        <f aca="false">IF($M18="","",IF(INDEX(Log!$AI:$AI,$M18)="","",INDEX(Log!$AI:$AI,$M18)))</f>
        <v/>
      </c>
      <c r="L18" s="65" t="str">
        <f aca="false">IF($M18="","",IF(INDEX(Log!$AJ:$AJ,$M18)="","",INDEX(Log!$AJ:$AJ,$M18)))</f>
        <v/>
      </c>
      <c r="M18" s="65" t="str">
        <f aca="false">IFERROR(SMALL(Log!$AM$6:$AM$305,13),"")</f>
        <v/>
      </c>
    </row>
    <row r="19" customFormat="false" ht="30" hidden="false" customHeight="true" outlineLevel="0" collapsed="false">
      <c r="A19" s="67" t="str">
        <f aca="false">IF($M19="","",14)</f>
        <v/>
      </c>
      <c r="B19" s="68" t="str">
        <f aca="false">IF($M19="","",IF(INDEX(Log!$A:$A,$M19)="","",INDEX(Log!$A:$A,$M19)))</f>
        <v/>
      </c>
      <c r="C19" s="68" t="str">
        <f aca="false">IF($M19="","",IF(INDEX(Log!$B:$B,$M19)="","",INDEX(Log!$B:$B,$M19)))</f>
        <v/>
      </c>
      <c r="D19" s="69" t="str">
        <f aca="false">IF($M19="","",IF(INDEX(Log!$C:$C,$M19)="","",INDEX(Log!$C:$C,$M19)))</f>
        <v/>
      </c>
      <c r="E19" s="68" t="str">
        <f aca="false">IF($M19="","",IF(INDEX(Log!$K:$K,$M19)="","",INDEX(Log!$K:$K,$M19)))</f>
        <v/>
      </c>
      <c r="F19" s="68" t="str">
        <f aca="false">IF($M19="","",IF(INDEX(Log!$AD:$AD,$M19)="","",INDEX(Log!$AD:$AD,$M19)))</f>
        <v/>
      </c>
      <c r="G19" s="68" t="str">
        <f aca="false">IF($M19="","",IF(INDEX(Log!$AE:$AE,$M19)="","",INDEX(Log!$AE:$AE,$M19)))</f>
        <v/>
      </c>
      <c r="H19" s="68" t="str">
        <f aca="false">IF($M19="","",IF(INDEX(Log!$AF:$AF,$M19)="","",INDEX(Log!$AF:$AF,$M19)))</f>
        <v/>
      </c>
      <c r="I19" s="69" t="str">
        <f aca="false">IF($M19="","",IF(INDEX(Log!$AG:$AG,$M19)="","",INDEX(Log!$AG:$AG,$M19)))</f>
        <v/>
      </c>
      <c r="J19" s="68" t="str">
        <f aca="false">IF($M19="","",IF(INDEX(Log!$AH:$AH,$M19)="","",INDEX(Log!$AH:$AH,$M19)))</f>
        <v/>
      </c>
      <c r="K19" s="67" t="str">
        <f aca="false">IF($M19="","",IF(INDEX(Log!$AI:$AI,$M19)="","",INDEX(Log!$AI:$AI,$M19)))</f>
        <v/>
      </c>
      <c r="L19" s="68" t="str">
        <f aca="false">IF($M19="","",IF(INDEX(Log!$AJ:$AJ,$M19)="","",INDEX(Log!$AJ:$AJ,$M19)))</f>
        <v/>
      </c>
      <c r="M19" s="68" t="str">
        <f aca="false">IFERROR(SMALL(Log!$AM$6:$AM$305,14),"")</f>
        <v/>
      </c>
    </row>
    <row r="20" customFormat="false" ht="30" hidden="false" customHeight="true" outlineLevel="0" collapsed="false">
      <c r="A20" s="64" t="str">
        <f aca="false">IF($M20="","",15)</f>
        <v/>
      </c>
      <c r="B20" s="65" t="str">
        <f aca="false">IF($M20="","",IF(INDEX(Log!$A:$A,$M20)="","",INDEX(Log!$A:$A,$M20)))</f>
        <v/>
      </c>
      <c r="C20" s="65" t="str">
        <f aca="false">IF($M20="","",IF(INDEX(Log!$B:$B,$M20)="","",INDEX(Log!$B:$B,$M20)))</f>
        <v/>
      </c>
      <c r="D20" s="66" t="str">
        <f aca="false">IF($M20="","",IF(INDEX(Log!$C:$C,$M20)="","",INDEX(Log!$C:$C,$M20)))</f>
        <v/>
      </c>
      <c r="E20" s="65" t="str">
        <f aca="false">IF($M20="","",IF(INDEX(Log!$K:$K,$M20)="","",INDEX(Log!$K:$K,$M20)))</f>
        <v/>
      </c>
      <c r="F20" s="65" t="str">
        <f aca="false">IF($M20="","",IF(INDEX(Log!$AD:$AD,$M20)="","",INDEX(Log!$AD:$AD,$M20)))</f>
        <v/>
      </c>
      <c r="G20" s="65" t="str">
        <f aca="false">IF($M20="","",IF(INDEX(Log!$AE:$AE,$M20)="","",INDEX(Log!$AE:$AE,$M20)))</f>
        <v/>
      </c>
      <c r="H20" s="65" t="str">
        <f aca="false">IF($M20="","",IF(INDEX(Log!$AF:$AF,$M20)="","",INDEX(Log!$AF:$AF,$M20)))</f>
        <v/>
      </c>
      <c r="I20" s="66" t="str">
        <f aca="false">IF($M20="","",IF(INDEX(Log!$AG:$AG,$M20)="","",INDEX(Log!$AG:$AG,$M20)))</f>
        <v/>
      </c>
      <c r="J20" s="65" t="str">
        <f aca="false">IF($M20="","",IF(INDEX(Log!$AH:$AH,$M20)="","",INDEX(Log!$AH:$AH,$M20)))</f>
        <v/>
      </c>
      <c r="K20" s="64" t="str">
        <f aca="false">IF($M20="","",IF(INDEX(Log!$AI:$AI,$M20)="","",INDEX(Log!$AI:$AI,$M20)))</f>
        <v/>
      </c>
      <c r="L20" s="65" t="str">
        <f aca="false">IF($M20="","",IF(INDEX(Log!$AJ:$AJ,$M20)="","",INDEX(Log!$AJ:$AJ,$M20)))</f>
        <v/>
      </c>
      <c r="M20" s="65" t="str">
        <f aca="false">IFERROR(SMALL(Log!$AM$6:$AM$305,15),"")</f>
        <v/>
      </c>
    </row>
    <row r="21" customFormat="false" ht="30" hidden="false" customHeight="true" outlineLevel="0" collapsed="false">
      <c r="A21" s="67" t="str">
        <f aca="false">IF($M21="","",16)</f>
        <v/>
      </c>
      <c r="B21" s="68" t="str">
        <f aca="false">IF($M21="","",IF(INDEX(Log!$A:$A,$M21)="","",INDEX(Log!$A:$A,$M21)))</f>
        <v/>
      </c>
      <c r="C21" s="68" t="str">
        <f aca="false">IF($M21="","",IF(INDEX(Log!$B:$B,$M21)="","",INDEX(Log!$B:$B,$M21)))</f>
        <v/>
      </c>
      <c r="D21" s="69" t="str">
        <f aca="false">IF($M21="","",IF(INDEX(Log!$C:$C,$M21)="","",INDEX(Log!$C:$C,$M21)))</f>
        <v/>
      </c>
      <c r="E21" s="68" t="str">
        <f aca="false">IF($M21="","",IF(INDEX(Log!$K:$K,$M21)="","",INDEX(Log!$K:$K,$M21)))</f>
        <v/>
      </c>
      <c r="F21" s="68" t="str">
        <f aca="false">IF($M21="","",IF(INDEX(Log!$AD:$AD,$M21)="","",INDEX(Log!$AD:$AD,$M21)))</f>
        <v/>
      </c>
      <c r="G21" s="68" t="str">
        <f aca="false">IF($M21="","",IF(INDEX(Log!$AE:$AE,$M21)="","",INDEX(Log!$AE:$AE,$M21)))</f>
        <v/>
      </c>
      <c r="H21" s="68" t="str">
        <f aca="false">IF($M21="","",IF(INDEX(Log!$AF:$AF,$M21)="","",INDEX(Log!$AF:$AF,$M21)))</f>
        <v/>
      </c>
      <c r="I21" s="69" t="str">
        <f aca="false">IF($M21="","",IF(INDEX(Log!$AG:$AG,$M21)="","",INDEX(Log!$AG:$AG,$M21)))</f>
        <v/>
      </c>
      <c r="J21" s="68" t="str">
        <f aca="false">IF($M21="","",IF(INDEX(Log!$AH:$AH,$M21)="","",INDEX(Log!$AH:$AH,$M21)))</f>
        <v/>
      </c>
      <c r="K21" s="67" t="str">
        <f aca="false">IF($M21="","",IF(INDEX(Log!$AI:$AI,$M21)="","",INDEX(Log!$AI:$AI,$M21)))</f>
        <v/>
      </c>
      <c r="L21" s="68" t="str">
        <f aca="false">IF($M21="","",IF(INDEX(Log!$AJ:$AJ,$M21)="","",INDEX(Log!$AJ:$AJ,$M21)))</f>
        <v/>
      </c>
      <c r="M21" s="68" t="str">
        <f aca="false">IFERROR(SMALL(Log!$AM$6:$AM$305,16),"")</f>
        <v/>
      </c>
    </row>
    <row r="22" customFormat="false" ht="30" hidden="false" customHeight="true" outlineLevel="0" collapsed="false">
      <c r="A22" s="64" t="str">
        <f aca="false">IF($M22="","",17)</f>
        <v/>
      </c>
      <c r="B22" s="65" t="str">
        <f aca="false">IF($M22="","",IF(INDEX(Log!$A:$A,$M22)="","",INDEX(Log!$A:$A,$M22)))</f>
        <v/>
      </c>
      <c r="C22" s="65" t="str">
        <f aca="false">IF($M22="","",IF(INDEX(Log!$B:$B,$M22)="","",INDEX(Log!$B:$B,$M22)))</f>
        <v/>
      </c>
      <c r="D22" s="66" t="str">
        <f aca="false">IF($M22="","",IF(INDEX(Log!$C:$C,$M22)="","",INDEX(Log!$C:$C,$M22)))</f>
        <v/>
      </c>
      <c r="E22" s="65" t="str">
        <f aca="false">IF($M22="","",IF(INDEX(Log!$K:$K,$M22)="","",INDEX(Log!$K:$K,$M22)))</f>
        <v/>
      </c>
      <c r="F22" s="65" t="str">
        <f aca="false">IF($M22="","",IF(INDEX(Log!$AD:$AD,$M22)="","",INDEX(Log!$AD:$AD,$M22)))</f>
        <v/>
      </c>
      <c r="G22" s="65" t="str">
        <f aca="false">IF($M22="","",IF(INDEX(Log!$AE:$AE,$M22)="","",INDEX(Log!$AE:$AE,$M22)))</f>
        <v/>
      </c>
      <c r="H22" s="65" t="str">
        <f aca="false">IF($M22="","",IF(INDEX(Log!$AF:$AF,$M22)="","",INDEX(Log!$AF:$AF,$M22)))</f>
        <v/>
      </c>
      <c r="I22" s="66" t="str">
        <f aca="false">IF($M22="","",IF(INDEX(Log!$AG:$AG,$M22)="","",INDEX(Log!$AG:$AG,$M22)))</f>
        <v/>
      </c>
      <c r="J22" s="65" t="str">
        <f aca="false">IF($M22="","",IF(INDEX(Log!$AH:$AH,$M22)="","",INDEX(Log!$AH:$AH,$M22)))</f>
        <v/>
      </c>
      <c r="K22" s="64" t="str">
        <f aca="false">IF($M22="","",IF(INDEX(Log!$AI:$AI,$M22)="","",INDEX(Log!$AI:$AI,$M22)))</f>
        <v/>
      </c>
      <c r="L22" s="65" t="str">
        <f aca="false">IF($M22="","",IF(INDEX(Log!$AJ:$AJ,$M22)="","",INDEX(Log!$AJ:$AJ,$M22)))</f>
        <v/>
      </c>
      <c r="M22" s="65" t="str">
        <f aca="false">IFERROR(SMALL(Log!$AM$6:$AM$305,17),"")</f>
        <v/>
      </c>
    </row>
    <row r="23" customFormat="false" ht="30" hidden="false" customHeight="true" outlineLevel="0" collapsed="false">
      <c r="A23" s="67" t="str">
        <f aca="false">IF($M23="","",18)</f>
        <v/>
      </c>
      <c r="B23" s="68" t="str">
        <f aca="false">IF($M23="","",IF(INDEX(Log!$A:$A,$M23)="","",INDEX(Log!$A:$A,$M23)))</f>
        <v/>
      </c>
      <c r="C23" s="68" t="str">
        <f aca="false">IF($M23="","",IF(INDEX(Log!$B:$B,$M23)="","",INDEX(Log!$B:$B,$M23)))</f>
        <v/>
      </c>
      <c r="D23" s="69" t="str">
        <f aca="false">IF($M23="","",IF(INDEX(Log!$C:$C,$M23)="","",INDEX(Log!$C:$C,$M23)))</f>
        <v/>
      </c>
      <c r="E23" s="68" t="str">
        <f aca="false">IF($M23="","",IF(INDEX(Log!$K:$K,$M23)="","",INDEX(Log!$K:$K,$M23)))</f>
        <v/>
      </c>
      <c r="F23" s="68" t="str">
        <f aca="false">IF($M23="","",IF(INDEX(Log!$AD:$AD,$M23)="","",INDEX(Log!$AD:$AD,$M23)))</f>
        <v/>
      </c>
      <c r="G23" s="68" t="str">
        <f aca="false">IF($M23="","",IF(INDEX(Log!$AE:$AE,$M23)="","",INDEX(Log!$AE:$AE,$M23)))</f>
        <v/>
      </c>
      <c r="H23" s="68" t="str">
        <f aca="false">IF($M23="","",IF(INDEX(Log!$AF:$AF,$M23)="","",INDEX(Log!$AF:$AF,$M23)))</f>
        <v/>
      </c>
      <c r="I23" s="69" t="str">
        <f aca="false">IF($M23="","",IF(INDEX(Log!$AG:$AG,$M23)="","",INDEX(Log!$AG:$AG,$M23)))</f>
        <v/>
      </c>
      <c r="J23" s="68" t="str">
        <f aca="false">IF($M23="","",IF(INDEX(Log!$AH:$AH,$M23)="","",INDEX(Log!$AH:$AH,$M23)))</f>
        <v/>
      </c>
      <c r="K23" s="67" t="str">
        <f aca="false">IF($M23="","",IF(INDEX(Log!$AI:$AI,$M23)="","",INDEX(Log!$AI:$AI,$M23)))</f>
        <v/>
      </c>
      <c r="L23" s="68" t="str">
        <f aca="false">IF($M23="","",IF(INDEX(Log!$AJ:$AJ,$M23)="","",INDEX(Log!$AJ:$AJ,$M23)))</f>
        <v/>
      </c>
      <c r="M23" s="68" t="str">
        <f aca="false">IFERROR(SMALL(Log!$AM$6:$AM$305,18),"")</f>
        <v/>
      </c>
    </row>
    <row r="24" customFormat="false" ht="30" hidden="false" customHeight="true" outlineLevel="0" collapsed="false">
      <c r="A24" s="64" t="str">
        <f aca="false">IF($M24="","",19)</f>
        <v/>
      </c>
      <c r="B24" s="65" t="str">
        <f aca="false">IF($M24="","",IF(INDEX(Log!$A:$A,$M24)="","",INDEX(Log!$A:$A,$M24)))</f>
        <v/>
      </c>
      <c r="C24" s="65" t="str">
        <f aca="false">IF($M24="","",IF(INDEX(Log!$B:$B,$M24)="","",INDEX(Log!$B:$B,$M24)))</f>
        <v/>
      </c>
      <c r="D24" s="66" t="str">
        <f aca="false">IF($M24="","",IF(INDEX(Log!$C:$C,$M24)="","",INDEX(Log!$C:$C,$M24)))</f>
        <v/>
      </c>
      <c r="E24" s="65" t="str">
        <f aca="false">IF($M24="","",IF(INDEX(Log!$K:$K,$M24)="","",INDEX(Log!$K:$K,$M24)))</f>
        <v/>
      </c>
      <c r="F24" s="65" t="str">
        <f aca="false">IF($M24="","",IF(INDEX(Log!$AD:$AD,$M24)="","",INDEX(Log!$AD:$AD,$M24)))</f>
        <v/>
      </c>
      <c r="G24" s="65" t="str">
        <f aca="false">IF($M24="","",IF(INDEX(Log!$AE:$AE,$M24)="","",INDEX(Log!$AE:$AE,$M24)))</f>
        <v/>
      </c>
      <c r="H24" s="65" t="str">
        <f aca="false">IF($M24="","",IF(INDEX(Log!$AF:$AF,$M24)="","",INDEX(Log!$AF:$AF,$M24)))</f>
        <v/>
      </c>
      <c r="I24" s="66" t="str">
        <f aca="false">IF($M24="","",IF(INDEX(Log!$AG:$AG,$M24)="","",INDEX(Log!$AG:$AG,$M24)))</f>
        <v/>
      </c>
      <c r="J24" s="65" t="str">
        <f aca="false">IF($M24="","",IF(INDEX(Log!$AH:$AH,$M24)="","",INDEX(Log!$AH:$AH,$M24)))</f>
        <v/>
      </c>
      <c r="K24" s="64" t="str">
        <f aca="false">IF($M24="","",IF(INDEX(Log!$AI:$AI,$M24)="","",INDEX(Log!$AI:$AI,$M24)))</f>
        <v/>
      </c>
      <c r="L24" s="65" t="str">
        <f aca="false">IF($M24="","",IF(INDEX(Log!$AJ:$AJ,$M24)="","",INDEX(Log!$AJ:$AJ,$M24)))</f>
        <v/>
      </c>
      <c r="M24" s="65" t="str">
        <f aca="false">IFERROR(SMALL(Log!$AM$6:$AM$305,19),"")</f>
        <v/>
      </c>
    </row>
    <row r="25" customFormat="false" ht="30" hidden="false" customHeight="true" outlineLevel="0" collapsed="false">
      <c r="A25" s="67" t="str">
        <f aca="false">IF($M25="","",20)</f>
        <v/>
      </c>
      <c r="B25" s="68" t="str">
        <f aca="false">IF($M25="","",IF(INDEX(Log!$A:$A,$M25)="","",INDEX(Log!$A:$A,$M25)))</f>
        <v/>
      </c>
      <c r="C25" s="68" t="str">
        <f aca="false">IF($M25="","",IF(INDEX(Log!$B:$B,$M25)="","",INDEX(Log!$B:$B,$M25)))</f>
        <v/>
      </c>
      <c r="D25" s="69" t="str">
        <f aca="false">IF($M25="","",IF(INDEX(Log!$C:$C,$M25)="","",INDEX(Log!$C:$C,$M25)))</f>
        <v/>
      </c>
      <c r="E25" s="68" t="str">
        <f aca="false">IF($M25="","",IF(INDEX(Log!$K:$K,$M25)="","",INDEX(Log!$K:$K,$M25)))</f>
        <v/>
      </c>
      <c r="F25" s="68" t="str">
        <f aca="false">IF($M25="","",IF(INDEX(Log!$AD:$AD,$M25)="","",INDEX(Log!$AD:$AD,$M25)))</f>
        <v/>
      </c>
      <c r="G25" s="68" t="str">
        <f aca="false">IF($M25="","",IF(INDEX(Log!$AE:$AE,$M25)="","",INDEX(Log!$AE:$AE,$M25)))</f>
        <v/>
      </c>
      <c r="H25" s="68" t="str">
        <f aca="false">IF($M25="","",IF(INDEX(Log!$AF:$AF,$M25)="","",INDEX(Log!$AF:$AF,$M25)))</f>
        <v/>
      </c>
      <c r="I25" s="69" t="str">
        <f aca="false">IF($M25="","",IF(INDEX(Log!$AG:$AG,$M25)="","",INDEX(Log!$AG:$AG,$M25)))</f>
        <v/>
      </c>
      <c r="J25" s="68" t="str">
        <f aca="false">IF($M25="","",IF(INDEX(Log!$AH:$AH,$M25)="","",INDEX(Log!$AH:$AH,$M25)))</f>
        <v/>
      </c>
      <c r="K25" s="67" t="str">
        <f aca="false">IF($M25="","",IF(INDEX(Log!$AI:$AI,$M25)="","",INDEX(Log!$AI:$AI,$M25)))</f>
        <v/>
      </c>
      <c r="L25" s="68" t="str">
        <f aca="false">IF($M25="","",IF(INDEX(Log!$AJ:$AJ,$M25)="","",INDEX(Log!$AJ:$AJ,$M25)))</f>
        <v/>
      </c>
      <c r="M25" s="68" t="str">
        <f aca="false">IFERROR(SMALL(Log!$AM$6:$AM$305,20),"")</f>
        <v/>
      </c>
    </row>
    <row r="26" customFormat="false" ht="30" hidden="false" customHeight="true" outlineLevel="0" collapsed="false">
      <c r="A26" s="64" t="str">
        <f aca="false">IF($M26="","",21)</f>
        <v/>
      </c>
      <c r="B26" s="65" t="str">
        <f aca="false">IF($M26="","",IF(INDEX(Log!$A:$A,$M26)="","",INDEX(Log!$A:$A,$M26)))</f>
        <v/>
      </c>
      <c r="C26" s="65" t="str">
        <f aca="false">IF($M26="","",IF(INDEX(Log!$B:$B,$M26)="","",INDEX(Log!$B:$B,$M26)))</f>
        <v/>
      </c>
      <c r="D26" s="66" t="str">
        <f aca="false">IF($M26="","",IF(INDEX(Log!$C:$C,$M26)="","",INDEX(Log!$C:$C,$M26)))</f>
        <v/>
      </c>
      <c r="E26" s="65" t="str">
        <f aca="false">IF($M26="","",IF(INDEX(Log!$K:$K,$M26)="","",INDEX(Log!$K:$K,$M26)))</f>
        <v/>
      </c>
      <c r="F26" s="65" t="str">
        <f aca="false">IF($M26="","",IF(INDEX(Log!$AD:$AD,$M26)="","",INDEX(Log!$AD:$AD,$M26)))</f>
        <v/>
      </c>
      <c r="G26" s="65" t="str">
        <f aca="false">IF($M26="","",IF(INDEX(Log!$AE:$AE,$M26)="","",INDEX(Log!$AE:$AE,$M26)))</f>
        <v/>
      </c>
      <c r="H26" s="65" t="str">
        <f aca="false">IF($M26="","",IF(INDEX(Log!$AF:$AF,$M26)="","",INDEX(Log!$AF:$AF,$M26)))</f>
        <v/>
      </c>
      <c r="I26" s="66" t="str">
        <f aca="false">IF($M26="","",IF(INDEX(Log!$AG:$AG,$M26)="","",INDEX(Log!$AG:$AG,$M26)))</f>
        <v/>
      </c>
      <c r="J26" s="65" t="str">
        <f aca="false">IF($M26="","",IF(INDEX(Log!$AH:$AH,$M26)="","",INDEX(Log!$AH:$AH,$M26)))</f>
        <v/>
      </c>
      <c r="K26" s="64" t="str">
        <f aca="false">IF($M26="","",IF(INDEX(Log!$AI:$AI,$M26)="","",INDEX(Log!$AI:$AI,$M26)))</f>
        <v/>
      </c>
      <c r="L26" s="65" t="str">
        <f aca="false">IF($M26="","",IF(INDEX(Log!$AJ:$AJ,$M26)="","",INDEX(Log!$AJ:$AJ,$M26)))</f>
        <v/>
      </c>
      <c r="M26" s="65" t="str">
        <f aca="false">IFERROR(SMALL(Log!$AM$6:$AM$305,21),"")</f>
        <v/>
      </c>
    </row>
    <row r="27" customFormat="false" ht="30" hidden="false" customHeight="true" outlineLevel="0" collapsed="false">
      <c r="A27" s="67" t="str">
        <f aca="false">IF($M27="","",22)</f>
        <v/>
      </c>
      <c r="B27" s="68" t="str">
        <f aca="false">IF($M27="","",IF(INDEX(Log!$A:$A,$M27)="","",INDEX(Log!$A:$A,$M27)))</f>
        <v/>
      </c>
      <c r="C27" s="68" t="str">
        <f aca="false">IF($M27="","",IF(INDEX(Log!$B:$B,$M27)="","",INDEX(Log!$B:$B,$M27)))</f>
        <v/>
      </c>
      <c r="D27" s="69" t="str">
        <f aca="false">IF($M27="","",IF(INDEX(Log!$C:$C,$M27)="","",INDEX(Log!$C:$C,$M27)))</f>
        <v/>
      </c>
      <c r="E27" s="68" t="str">
        <f aca="false">IF($M27="","",IF(INDEX(Log!$K:$K,$M27)="","",INDEX(Log!$K:$K,$M27)))</f>
        <v/>
      </c>
      <c r="F27" s="68" t="str">
        <f aca="false">IF($M27="","",IF(INDEX(Log!$AD:$AD,$M27)="","",INDEX(Log!$AD:$AD,$M27)))</f>
        <v/>
      </c>
      <c r="G27" s="68" t="str">
        <f aca="false">IF($M27="","",IF(INDEX(Log!$AE:$AE,$M27)="","",INDEX(Log!$AE:$AE,$M27)))</f>
        <v/>
      </c>
      <c r="H27" s="68" t="str">
        <f aca="false">IF($M27="","",IF(INDEX(Log!$AF:$AF,$M27)="","",INDEX(Log!$AF:$AF,$M27)))</f>
        <v/>
      </c>
      <c r="I27" s="69" t="str">
        <f aca="false">IF($M27="","",IF(INDEX(Log!$AG:$AG,$M27)="","",INDEX(Log!$AG:$AG,$M27)))</f>
        <v/>
      </c>
      <c r="J27" s="68" t="str">
        <f aca="false">IF($M27="","",IF(INDEX(Log!$AH:$AH,$M27)="","",INDEX(Log!$AH:$AH,$M27)))</f>
        <v/>
      </c>
      <c r="K27" s="67" t="str">
        <f aca="false">IF($M27="","",IF(INDEX(Log!$AI:$AI,$M27)="","",INDEX(Log!$AI:$AI,$M27)))</f>
        <v/>
      </c>
      <c r="L27" s="68" t="str">
        <f aca="false">IF($M27="","",IF(INDEX(Log!$AJ:$AJ,$M27)="","",INDEX(Log!$AJ:$AJ,$M27)))</f>
        <v/>
      </c>
      <c r="M27" s="68" t="str">
        <f aca="false">IFERROR(SMALL(Log!$AM$6:$AM$305,22),"")</f>
        <v/>
      </c>
    </row>
    <row r="28" customFormat="false" ht="30" hidden="false" customHeight="true" outlineLevel="0" collapsed="false">
      <c r="A28" s="64" t="str">
        <f aca="false">IF($M28="","",23)</f>
        <v/>
      </c>
      <c r="B28" s="65" t="str">
        <f aca="false">IF($M28="","",IF(INDEX(Log!$A:$A,$M28)="","",INDEX(Log!$A:$A,$M28)))</f>
        <v/>
      </c>
      <c r="C28" s="65" t="str">
        <f aca="false">IF($M28="","",IF(INDEX(Log!$B:$B,$M28)="","",INDEX(Log!$B:$B,$M28)))</f>
        <v/>
      </c>
      <c r="D28" s="66" t="str">
        <f aca="false">IF($M28="","",IF(INDEX(Log!$C:$C,$M28)="","",INDEX(Log!$C:$C,$M28)))</f>
        <v/>
      </c>
      <c r="E28" s="65" t="str">
        <f aca="false">IF($M28="","",IF(INDEX(Log!$K:$K,$M28)="","",INDEX(Log!$K:$K,$M28)))</f>
        <v/>
      </c>
      <c r="F28" s="65" t="str">
        <f aca="false">IF($M28="","",IF(INDEX(Log!$AD:$AD,$M28)="","",INDEX(Log!$AD:$AD,$M28)))</f>
        <v/>
      </c>
      <c r="G28" s="65" t="str">
        <f aca="false">IF($M28="","",IF(INDEX(Log!$AE:$AE,$M28)="","",INDEX(Log!$AE:$AE,$M28)))</f>
        <v/>
      </c>
      <c r="H28" s="65" t="str">
        <f aca="false">IF($M28="","",IF(INDEX(Log!$AF:$AF,$M28)="","",INDEX(Log!$AF:$AF,$M28)))</f>
        <v/>
      </c>
      <c r="I28" s="66" t="str">
        <f aca="false">IF($M28="","",IF(INDEX(Log!$AG:$AG,$M28)="","",INDEX(Log!$AG:$AG,$M28)))</f>
        <v/>
      </c>
      <c r="J28" s="65" t="str">
        <f aca="false">IF($M28="","",IF(INDEX(Log!$AH:$AH,$M28)="","",INDEX(Log!$AH:$AH,$M28)))</f>
        <v/>
      </c>
      <c r="K28" s="64" t="str">
        <f aca="false">IF($M28="","",IF(INDEX(Log!$AI:$AI,$M28)="","",INDEX(Log!$AI:$AI,$M28)))</f>
        <v/>
      </c>
      <c r="L28" s="65" t="str">
        <f aca="false">IF($M28="","",IF(INDEX(Log!$AJ:$AJ,$M28)="","",INDEX(Log!$AJ:$AJ,$M28)))</f>
        <v/>
      </c>
      <c r="M28" s="65" t="str">
        <f aca="false">IFERROR(SMALL(Log!$AM$6:$AM$305,23),"")</f>
        <v/>
      </c>
    </row>
    <row r="29" customFormat="false" ht="30" hidden="false" customHeight="true" outlineLevel="0" collapsed="false">
      <c r="A29" s="67" t="str">
        <f aca="false">IF($M29="","",24)</f>
        <v/>
      </c>
      <c r="B29" s="68" t="str">
        <f aca="false">IF($M29="","",IF(INDEX(Log!$A:$A,$M29)="","",INDEX(Log!$A:$A,$M29)))</f>
        <v/>
      </c>
      <c r="C29" s="68" t="str">
        <f aca="false">IF($M29="","",IF(INDEX(Log!$B:$B,$M29)="","",INDEX(Log!$B:$B,$M29)))</f>
        <v/>
      </c>
      <c r="D29" s="69" t="str">
        <f aca="false">IF($M29="","",IF(INDEX(Log!$C:$C,$M29)="","",INDEX(Log!$C:$C,$M29)))</f>
        <v/>
      </c>
      <c r="E29" s="68" t="str">
        <f aca="false">IF($M29="","",IF(INDEX(Log!$K:$K,$M29)="","",INDEX(Log!$K:$K,$M29)))</f>
        <v/>
      </c>
      <c r="F29" s="68" t="str">
        <f aca="false">IF($M29="","",IF(INDEX(Log!$AD:$AD,$M29)="","",INDEX(Log!$AD:$AD,$M29)))</f>
        <v/>
      </c>
      <c r="G29" s="68" t="str">
        <f aca="false">IF($M29="","",IF(INDEX(Log!$AE:$AE,$M29)="","",INDEX(Log!$AE:$AE,$M29)))</f>
        <v/>
      </c>
      <c r="H29" s="68" t="str">
        <f aca="false">IF($M29="","",IF(INDEX(Log!$AF:$AF,$M29)="","",INDEX(Log!$AF:$AF,$M29)))</f>
        <v/>
      </c>
      <c r="I29" s="69" t="str">
        <f aca="false">IF($M29="","",IF(INDEX(Log!$AG:$AG,$M29)="","",INDEX(Log!$AG:$AG,$M29)))</f>
        <v/>
      </c>
      <c r="J29" s="68" t="str">
        <f aca="false">IF($M29="","",IF(INDEX(Log!$AH:$AH,$M29)="","",INDEX(Log!$AH:$AH,$M29)))</f>
        <v/>
      </c>
      <c r="K29" s="67" t="str">
        <f aca="false">IF($M29="","",IF(INDEX(Log!$AI:$AI,$M29)="","",INDEX(Log!$AI:$AI,$M29)))</f>
        <v/>
      </c>
      <c r="L29" s="68" t="str">
        <f aca="false">IF($M29="","",IF(INDEX(Log!$AJ:$AJ,$M29)="","",INDEX(Log!$AJ:$AJ,$M29)))</f>
        <v/>
      </c>
      <c r="M29" s="68" t="str">
        <f aca="false">IFERROR(SMALL(Log!$AM$6:$AM$305,24),"")</f>
        <v/>
      </c>
    </row>
    <row r="30" customFormat="false" ht="30" hidden="false" customHeight="true" outlineLevel="0" collapsed="false">
      <c r="A30" s="64" t="str">
        <f aca="false">IF($M30="","",25)</f>
        <v/>
      </c>
      <c r="B30" s="65" t="str">
        <f aca="false">IF($M30="","",IF(INDEX(Log!$A:$A,$M30)="","",INDEX(Log!$A:$A,$M30)))</f>
        <v/>
      </c>
      <c r="C30" s="65" t="str">
        <f aca="false">IF($M30="","",IF(INDEX(Log!$B:$B,$M30)="","",INDEX(Log!$B:$B,$M30)))</f>
        <v/>
      </c>
      <c r="D30" s="66" t="str">
        <f aca="false">IF($M30="","",IF(INDEX(Log!$C:$C,$M30)="","",INDEX(Log!$C:$C,$M30)))</f>
        <v/>
      </c>
      <c r="E30" s="65" t="str">
        <f aca="false">IF($M30="","",IF(INDEX(Log!$K:$K,$M30)="","",INDEX(Log!$K:$K,$M30)))</f>
        <v/>
      </c>
      <c r="F30" s="65" t="str">
        <f aca="false">IF($M30="","",IF(INDEX(Log!$AD:$AD,$M30)="","",INDEX(Log!$AD:$AD,$M30)))</f>
        <v/>
      </c>
      <c r="G30" s="65" t="str">
        <f aca="false">IF($M30="","",IF(INDEX(Log!$AE:$AE,$M30)="","",INDEX(Log!$AE:$AE,$M30)))</f>
        <v/>
      </c>
      <c r="H30" s="65" t="str">
        <f aca="false">IF($M30="","",IF(INDEX(Log!$AF:$AF,$M30)="","",INDEX(Log!$AF:$AF,$M30)))</f>
        <v/>
      </c>
      <c r="I30" s="66" t="str">
        <f aca="false">IF($M30="","",IF(INDEX(Log!$AG:$AG,$M30)="","",INDEX(Log!$AG:$AG,$M30)))</f>
        <v/>
      </c>
      <c r="J30" s="65" t="str">
        <f aca="false">IF($M30="","",IF(INDEX(Log!$AH:$AH,$M30)="","",INDEX(Log!$AH:$AH,$M30)))</f>
        <v/>
      </c>
      <c r="K30" s="64" t="str">
        <f aca="false">IF($M30="","",IF(INDEX(Log!$AI:$AI,$M30)="","",INDEX(Log!$AI:$AI,$M30)))</f>
        <v/>
      </c>
      <c r="L30" s="65" t="str">
        <f aca="false">IF($M30="","",IF(INDEX(Log!$AJ:$AJ,$M30)="","",INDEX(Log!$AJ:$AJ,$M30)))</f>
        <v/>
      </c>
      <c r="M30" s="65" t="str">
        <f aca="false">IFERROR(SMALL(Log!$AM$6:$AM$305,25),"")</f>
        <v/>
      </c>
    </row>
    <row r="31" customFormat="false" ht="30" hidden="false" customHeight="true" outlineLevel="0" collapsed="false">
      <c r="A31" s="67" t="str">
        <f aca="false">IF($M31="","",26)</f>
        <v/>
      </c>
      <c r="B31" s="68" t="str">
        <f aca="false">IF($M31="","",IF(INDEX(Log!$A:$A,$M31)="","",INDEX(Log!$A:$A,$M31)))</f>
        <v/>
      </c>
      <c r="C31" s="68" t="str">
        <f aca="false">IF($M31="","",IF(INDEX(Log!$B:$B,$M31)="","",INDEX(Log!$B:$B,$M31)))</f>
        <v/>
      </c>
      <c r="D31" s="69" t="str">
        <f aca="false">IF($M31="","",IF(INDEX(Log!$C:$C,$M31)="","",INDEX(Log!$C:$C,$M31)))</f>
        <v/>
      </c>
      <c r="E31" s="68" t="str">
        <f aca="false">IF($M31="","",IF(INDEX(Log!$K:$K,$M31)="","",INDEX(Log!$K:$K,$M31)))</f>
        <v/>
      </c>
      <c r="F31" s="68" t="str">
        <f aca="false">IF($M31="","",IF(INDEX(Log!$AD:$AD,$M31)="","",INDEX(Log!$AD:$AD,$M31)))</f>
        <v/>
      </c>
      <c r="G31" s="68" t="str">
        <f aca="false">IF($M31="","",IF(INDEX(Log!$AE:$AE,$M31)="","",INDEX(Log!$AE:$AE,$M31)))</f>
        <v/>
      </c>
      <c r="H31" s="68" t="str">
        <f aca="false">IF($M31="","",IF(INDEX(Log!$AF:$AF,$M31)="","",INDEX(Log!$AF:$AF,$M31)))</f>
        <v/>
      </c>
      <c r="I31" s="69" t="str">
        <f aca="false">IF($M31="","",IF(INDEX(Log!$AG:$AG,$M31)="","",INDEX(Log!$AG:$AG,$M31)))</f>
        <v/>
      </c>
      <c r="J31" s="68" t="str">
        <f aca="false">IF($M31="","",IF(INDEX(Log!$AH:$AH,$M31)="","",INDEX(Log!$AH:$AH,$M31)))</f>
        <v/>
      </c>
      <c r="K31" s="67" t="str">
        <f aca="false">IF($M31="","",IF(INDEX(Log!$AI:$AI,$M31)="","",INDEX(Log!$AI:$AI,$M31)))</f>
        <v/>
      </c>
      <c r="L31" s="68" t="str">
        <f aca="false">IF($M31="","",IF(INDEX(Log!$AJ:$AJ,$M31)="","",INDEX(Log!$AJ:$AJ,$M31)))</f>
        <v/>
      </c>
      <c r="M31" s="68" t="str">
        <f aca="false">IFERROR(SMALL(Log!$AM$6:$AM$305,26),"")</f>
        <v/>
      </c>
    </row>
    <row r="32" customFormat="false" ht="30" hidden="false" customHeight="true" outlineLevel="0" collapsed="false">
      <c r="A32" s="64" t="str">
        <f aca="false">IF($M32="","",27)</f>
        <v/>
      </c>
      <c r="B32" s="65" t="str">
        <f aca="false">IF($M32="","",IF(INDEX(Log!$A:$A,$M32)="","",INDEX(Log!$A:$A,$M32)))</f>
        <v/>
      </c>
      <c r="C32" s="65" t="str">
        <f aca="false">IF($M32="","",IF(INDEX(Log!$B:$B,$M32)="","",INDEX(Log!$B:$B,$M32)))</f>
        <v/>
      </c>
      <c r="D32" s="66" t="str">
        <f aca="false">IF($M32="","",IF(INDEX(Log!$C:$C,$M32)="","",INDEX(Log!$C:$C,$M32)))</f>
        <v/>
      </c>
      <c r="E32" s="65" t="str">
        <f aca="false">IF($M32="","",IF(INDEX(Log!$K:$K,$M32)="","",INDEX(Log!$K:$K,$M32)))</f>
        <v/>
      </c>
      <c r="F32" s="65" t="str">
        <f aca="false">IF($M32="","",IF(INDEX(Log!$AD:$AD,$M32)="","",INDEX(Log!$AD:$AD,$M32)))</f>
        <v/>
      </c>
      <c r="G32" s="65" t="str">
        <f aca="false">IF($M32="","",IF(INDEX(Log!$AE:$AE,$M32)="","",INDEX(Log!$AE:$AE,$M32)))</f>
        <v/>
      </c>
      <c r="H32" s="65" t="str">
        <f aca="false">IF($M32="","",IF(INDEX(Log!$AF:$AF,$M32)="","",INDEX(Log!$AF:$AF,$M32)))</f>
        <v/>
      </c>
      <c r="I32" s="66" t="str">
        <f aca="false">IF($M32="","",IF(INDEX(Log!$AG:$AG,$M32)="","",INDEX(Log!$AG:$AG,$M32)))</f>
        <v/>
      </c>
      <c r="J32" s="65" t="str">
        <f aca="false">IF($M32="","",IF(INDEX(Log!$AH:$AH,$M32)="","",INDEX(Log!$AH:$AH,$M32)))</f>
        <v/>
      </c>
      <c r="K32" s="64" t="str">
        <f aca="false">IF($M32="","",IF(INDEX(Log!$AI:$AI,$M32)="","",INDEX(Log!$AI:$AI,$M32)))</f>
        <v/>
      </c>
      <c r="L32" s="65" t="str">
        <f aca="false">IF($M32="","",IF(INDEX(Log!$AJ:$AJ,$M32)="","",INDEX(Log!$AJ:$AJ,$M32)))</f>
        <v/>
      </c>
      <c r="M32" s="65" t="str">
        <f aca="false">IFERROR(SMALL(Log!$AM$6:$AM$305,27),"")</f>
        <v/>
      </c>
    </row>
    <row r="33" customFormat="false" ht="30" hidden="false" customHeight="true" outlineLevel="0" collapsed="false">
      <c r="A33" s="67" t="str">
        <f aca="false">IF($M33="","",28)</f>
        <v/>
      </c>
      <c r="B33" s="68" t="str">
        <f aca="false">IF($M33="","",IF(INDEX(Log!$A:$A,$M33)="","",INDEX(Log!$A:$A,$M33)))</f>
        <v/>
      </c>
      <c r="C33" s="68" t="str">
        <f aca="false">IF($M33="","",IF(INDEX(Log!$B:$B,$M33)="","",INDEX(Log!$B:$B,$M33)))</f>
        <v/>
      </c>
      <c r="D33" s="69" t="str">
        <f aca="false">IF($M33="","",IF(INDEX(Log!$C:$C,$M33)="","",INDEX(Log!$C:$C,$M33)))</f>
        <v/>
      </c>
      <c r="E33" s="68" t="str">
        <f aca="false">IF($M33="","",IF(INDEX(Log!$K:$K,$M33)="","",INDEX(Log!$K:$K,$M33)))</f>
        <v/>
      </c>
      <c r="F33" s="68" t="str">
        <f aca="false">IF($M33="","",IF(INDEX(Log!$AD:$AD,$M33)="","",INDEX(Log!$AD:$AD,$M33)))</f>
        <v/>
      </c>
      <c r="G33" s="68" t="str">
        <f aca="false">IF($M33="","",IF(INDEX(Log!$AE:$AE,$M33)="","",INDEX(Log!$AE:$AE,$M33)))</f>
        <v/>
      </c>
      <c r="H33" s="68" t="str">
        <f aca="false">IF($M33="","",IF(INDEX(Log!$AF:$AF,$M33)="","",INDEX(Log!$AF:$AF,$M33)))</f>
        <v/>
      </c>
      <c r="I33" s="69" t="str">
        <f aca="false">IF($M33="","",IF(INDEX(Log!$AG:$AG,$M33)="","",INDEX(Log!$AG:$AG,$M33)))</f>
        <v/>
      </c>
      <c r="J33" s="68" t="str">
        <f aca="false">IF($M33="","",IF(INDEX(Log!$AH:$AH,$M33)="","",INDEX(Log!$AH:$AH,$M33)))</f>
        <v/>
      </c>
      <c r="K33" s="67" t="str">
        <f aca="false">IF($M33="","",IF(INDEX(Log!$AI:$AI,$M33)="","",INDEX(Log!$AI:$AI,$M33)))</f>
        <v/>
      </c>
      <c r="L33" s="68" t="str">
        <f aca="false">IF($M33="","",IF(INDEX(Log!$AJ:$AJ,$M33)="","",INDEX(Log!$AJ:$AJ,$M33)))</f>
        <v/>
      </c>
      <c r="M33" s="68" t="str">
        <f aca="false">IFERROR(SMALL(Log!$AM$6:$AM$305,28),"")</f>
        <v/>
      </c>
    </row>
    <row r="34" customFormat="false" ht="30" hidden="false" customHeight="true" outlineLevel="0" collapsed="false">
      <c r="A34" s="64" t="str">
        <f aca="false">IF($M34="","",29)</f>
        <v/>
      </c>
      <c r="B34" s="65" t="str">
        <f aca="false">IF($M34="","",IF(INDEX(Log!$A:$A,$M34)="","",INDEX(Log!$A:$A,$M34)))</f>
        <v/>
      </c>
      <c r="C34" s="65" t="str">
        <f aca="false">IF($M34="","",IF(INDEX(Log!$B:$B,$M34)="","",INDEX(Log!$B:$B,$M34)))</f>
        <v/>
      </c>
      <c r="D34" s="66" t="str">
        <f aca="false">IF($M34="","",IF(INDEX(Log!$C:$C,$M34)="","",INDEX(Log!$C:$C,$M34)))</f>
        <v/>
      </c>
      <c r="E34" s="65" t="str">
        <f aca="false">IF($M34="","",IF(INDEX(Log!$K:$K,$M34)="","",INDEX(Log!$K:$K,$M34)))</f>
        <v/>
      </c>
      <c r="F34" s="65" t="str">
        <f aca="false">IF($M34="","",IF(INDEX(Log!$AD:$AD,$M34)="","",INDEX(Log!$AD:$AD,$M34)))</f>
        <v/>
      </c>
      <c r="G34" s="65" t="str">
        <f aca="false">IF($M34="","",IF(INDEX(Log!$AE:$AE,$M34)="","",INDEX(Log!$AE:$AE,$M34)))</f>
        <v/>
      </c>
      <c r="H34" s="65" t="str">
        <f aca="false">IF($M34="","",IF(INDEX(Log!$AF:$AF,$M34)="","",INDEX(Log!$AF:$AF,$M34)))</f>
        <v/>
      </c>
      <c r="I34" s="66" t="str">
        <f aca="false">IF($M34="","",IF(INDEX(Log!$AG:$AG,$M34)="","",INDEX(Log!$AG:$AG,$M34)))</f>
        <v/>
      </c>
      <c r="J34" s="65" t="str">
        <f aca="false">IF($M34="","",IF(INDEX(Log!$AH:$AH,$M34)="","",INDEX(Log!$AH:$AH,$M34)))</f>
        <v/>
      </c>
      <c r="K34" s="64" t="str">
        <f aca="false">IF($M34="","",IF(INDEX(Log!$AI:$AI,$M34)="","",INDEX(Log!$AI:$AI,$M34)))</f>
        <v/>
      </c>
      <c r="L34" s="65" t="str">
        <f aca="false">IF($M34="","",IF(INDEX(Log!$AJ:$AJ,$M34)="","",INDEX(Log!$AJ:$AJ,$M34)))</f>
        <v/>
      </c>
      <c r="M34" s="65" t="str">
        <f aca="false">IFERROR(SMALL(Log!$AM$6:$AM$305,29),"")</f>
        <v/>
      </c>
    </row>
    <row r="35" customFormat="false" ht="30" hidden="false" customHeight="true" outlineLevel="0" collapsed="false">
      <c r="A35" s="67" t="str">
        <f aca="false">IF($M35="","",30)</f>
        <v/>
      </c>
      <c r="B35" s="68" t="str">
        <f aca="false">IF($M35="","",IF(INDEX(Log!$A:$A,$M35)="","",INDEX(Log!$A:$A,$M35)))</f>
        <v/>
      </c>
      <c r="C35" s="68" t="str">
        <f aca="false">IF($M35="","",IF(INDEX(Log!$B:$B,$M35)="","",INDEX(Log!$B:$B,$M35)))</f>
        <v/>
      </c>
      <c r="D35" s="69" t="str">
        <f aca="false">IF($M35="","",IF(INDEX(Log!$C:$C,$M35)="","",INDEX(Log!$C:$C,$M35)))</f>
        <v/>
      </c>
      <c r="E35" s="68" t="str">
        <f aca="false">IF($M35="","",IF(INDEX(Log!$K:$K,$M35)="","",INDEX(Log!$K:$K,$M35)))</f>
        <v/>
      </c>
      <c r="F35" s="68" t="str">
        <f aca="false">IF($M35="","",IF(INDEX(Log!$AD:$AD,$M35)="","",INDEX(Log!$AD:$AD,$M35)))</f>
        <v/>
      </c>
      <c r="G35" s="68" t="str">
        <f aca="false">IF($M35="","",IF(INDEX(Log!$AE:$AE,$M35)="","",INDEX(Log!$AE:$AE,$M35)))</f>
        <v/>
      </c>
      <c r="H35" s="68" t="str">
        <f aca="false">IF($M35="","",IF(INDEX(Log!$AF:$AF,$M35)="","",INDEX(Log!$AF:$AF,$M35)))</f>
        <v/>
      </c>
      <c r="I35" s="69" t="str">
        <f aca="false">IF($M35="","",IF(INDEX(Log!$AG:$AG,$M35)="","",INDEX(Log!$AG:$AG,$M35)))</f>
        <v/>
      </c>
      <c r="J35" s="68" t="str">
        <f aca="false">IF($M35="","",IF(INDEX(Log!$AH:$AH,$M35)="","",INDEX(Log!$AH:$AH,$M35)))</f>
        <v/>
      </c>
      <c r="K35" s="67" t="str">
        <f aca="false">IF($M35="","",IF(INDEX(Log!$AI:$AI,$M35)="","",INDEX(Log!$AI:$AI,$M35)))</f>
        <v/>
      </c>
      <c r="L35" s="68" t="str">
        <f aca="false">IF($M35="","",IF(INDEX(Log!$AJ:$AJ,$M35)="","",INDEX(Log!$AJ:$AJ,$M35)))</f>
        <v/>
      </c>
      <c r="M35" s="68" t="str">
        <f aca="false">IFERROR(SMALL(Log!$AM$6:$AM$305,30),"")</f>
        <v/>
      </c>
    </row>
    <row r="36" customFormat="false" ht="30" hidden="false" customHeight="true" outlineLevel="0" collapsed="false">
      <c r="A36" s="64" t="str">
        <f aca="false">IF($M36="","",31)</f>
        <v/>
      </c>
      <c r="B36" s="65" t="str">
        <f aca="false">IF($M36="","",IF(INDEX(Log!$A:$A,$M36)="","",INDEX(Log!$A:$A,$M36)))</f>
        <v/>
      </c>
      <c r="C36" s="65" t="str">
        <f aca="false">IF($M36="","",IF(INDEX(Log!$B:$B,$M36)="","",INDEX(Log!$B:$B,$M36)))</f>
        <v/>
      </c>
      <c r="D36" s="66" t="str">
        <f aca="false">IF($M36="","",IF(INDEX(Log!$C:$C,$M36)="","",INDEX(Log!$C:$C,$M36)))</f>
        <v/>
      </c>
      <c r="E36" s="65" t="str">
        <f aca="false">IF($M36="","",IF(INDEX(Log!$K:$K,$M36)="","",INDEX(Log!$K:$K,$M36)))</f>
        <v/>
      </c>
      <c r="F36" s="65" t="str">
        <f aca="false">IF($M36="","",IF(INDEX(Log!$AD:$AD,$M36)="","",INDEX(Log!$AD:$AD,$M36)))</f>
        <v/>
      </c>
      <c r="G36" s="65" t="str">
        <f aca="false">IF($M36="","",IF(INDEX(Log!$AE:$AE,$M36)="","",INDEX(Log!$AE:$AE,$M36)))</f>
        <v/>
      </c>
      <c r="H36" s="65" t="str">
        <f aca="false">IF($M36="","",IF(INDEX(Log!$AF:$AF,$M36)="","",INDEX(Log!$AF:$AF,$M36)))</f>
        <v/>
      </c>
      <c r="I36" s="66" t="str">
        <f aca="false">IF($M36="","",IF(INDEX(Log!$AG:$AG,$M36)="","",INDEX(Log!$AG:$AG,$M36)))</f>
        <v/>
      </c>
      <c r="J36" s="65" t="str">
        <f aca="false">IF($M36="","",IF(INDEX(Log!$AH:$AH,$M36)="","",INDEX(Log!$AH:$AH,$M36)))</f>
        <v/>
      </c>
      <c r="K36" s="64" t="str">
        <f aca="false">IF($M36="","",IF(INDEX(Log!$AI:$AI,$M36)="","",INDEX(Log!$AI:$AI,$M36)))</f>
        <v/>
      </c>
      <c r="L36" s="65" t="str">
        <f aca="false">IF($M36="","",IF(INDEX(Log!$AJ:$AJ,$M36)="","",INDEX(Log!$AJ:$AJ,$M36)))</f>
        <v/>
      </c>
      <c r="M36" s="65" t="str">
        <f aca="false">IFERROR(SMALL(Log!$AM$6:$AM$305,31),"")</f>
        <v/>
      </c>
    </row>
    <row r="37" customFormat="false" ht="30" hidden="false" customHeight="true" outlineLevel="0" collapsed="false">
      <c r="A37" s="67" t="str">
        <f aca="false">IF($M37="","",32)</f>
        <v/>
      </c>
      <c r="B37" s="68" t="str">
        <f aca="false">IF($M37="","",IF(INDEX(Log!$A:$A,$M37)="","",INDEX(Log!$A:$A,$M37)))</f>
        <v/>
      </c>
      <c r="C37" s="68" t="str">
        <f aca="false">IF($M37="","",IF(INDEX(Log!$B:$B,$M37)="","",INDEX(Log!$B:$B,$M37)))</f>
        <v/>
      </c>
      <c r="D37" s="69" t="str">
        <f aca="false">IF($M37="","",IF(INDEX(Log!$C:$C,$M37)="","",INDEX(Log!$C:$C,$M37)))</f>
        <v/>
      </c>
      <c r="E37" s="68" t="str">
        <f aca="false">IF($M37="","",IF(INDEX(Log!$K:$K,$M37)="","",INDEX(Log!$K:$K,$M37)))</f>
        <v/>
      </c>
      <c r="F37" s="68" t="str">
        <f aca="false">IF($M37="","",IF(INDEX(Log!$AD:$AD,$M37)="","",INDEX(Log!$AD:$AD,$M37)))</f>
        <v/>
      </c>
      <c r="G37" s="68" t="str">
        <f aca="false">IF($M37="","",IF(INDEX(Log!$AE:$AE,$M37)="","",INDEX(Log!$AE:$AE,$M37)))</f>
        <v/>
      </c>
      <c r="H37" s="68" t="str">
        <f aca="false">IF($M37="","",IF(INDEX(Log!$AF:$AF,$M37)="","",INDEX(Log!$AF:$AF,$M37)))</f>
        <v/>
      </c>
      <c r="I37" s="69" t="str">
        <f aca="false">IF($M37="","",IF(INDEX(Log!$AG:$AG,$M37)="","",INDEX(Log!$AG:$AG,$M37)))</f>
        <v/>
      </c>
      <c r="J37" s="68" t="str">
        <f aca="false">IF($M37="","",IF(INDEX(Log!$AH:$AH,$M37)="","",INDEX(Log!$AH:$AH,$M37)))</f>
        <v/>
      </c>
      <c r="K37" s="67" t="str">
        <f aca="false">IF($M37="","",IF(INDEX(Log!$AI:$AI,$M37)="","",INDEX(Log!$AI:$AI,$M37)))</f>
        <v/>
      </c>
      <c r="L37" s="68" t="str">
        <f aca="false">IF($M37="","",IF(INDEX(Log!$AJ:$AJ,$M37)="","",INDEX(Log!$AJ:$AJ,$M37)))</f>
        <v/>
      </c>
      <c r="M37" s="68" t="str">
        <f aca="false">IFERROR(SMALL(Log!$AM$6:$AM$305,32),"")</f>
        <v/>
      </c>
    </row>
    <row r="38" customFormat="false" ht="30" hidden="false" customHeight="true" outlineLevel="0" collapsed="false">
      <c r="A38" s="64" t="str">
        <f aca="false">IF($M38="","",33)</f>
        <v/>
      </c>
      <c r="B38" s="65" t="str">
        <f aca="false">IF($M38="","",IF(INDEX(Log!$A:$A,$M38)="","",INDEX(Log!$A:$A,$M38)))</f>
        <v/>
      </c>
      <c r="C38" s="65" t="str">
        <f aca="false">IF($M38="","",IF(INDEX(Log!$B:$B,$M38)="","",INDEX(Log!$B:$B,$M38)))</f>
        <v/>
      </c>
      <c r="D38" s="66" t="str">
        <f aca="false">IF($M38="","",IF(INDEX(Log!$C:$C,$M38)="","",INDEX(Log!$C:$C,$M38)))</f>
        <v/>
      </c>
      <c r="E38" s="65" t="str">
        <f aca="false">IF($M38="","",IF(INDEX(Log!$K:$K,$M38)="","",INDEX(Log!$K:$K,$M38)))</f>
        <v/>
      </c>
      <c r="F38" s="65" t="str">
        <f aca="false">IF($M38="","",IF(INDEX(Log!$AD:$AD,$M38)="","",INDEX(Log!$AD:$AD,$M38)))</f>
        <v/>
      </c>
      <c r="G38" s="65" t="str">
        <f aca="false">IF($M38="","",IF(INDEX(Log!$AE:$AE,$M38)="","",INDEX(Log!$AE:$AE,$M38)))</f>
        <v/>
      </c>
      <c r="H38" s="65" t="str">
        <f aca="false">IF($M38="","",IF(INDEX(Log!$AF:$AF,$M38)="","",INDEX(Log!$AF:$AF,$M38)))</f>
        <v/>
      </c>
      <c r="I38" s="66" t="str">
        <f aca="false">IF($M38="","",IF(INDEX(Log!$AG:$AG,$M38)="","",INDEX(Log!$AG:$AG,$M38)))</f>
        <v/>
      </c>
      <c r="J38" s="65" t="str">
        <f aca="false">IF($M38="","",IF(INDEX(Log!$AH:$AH,$M38)="","",INDEX(Log!$AH:$AH,$M38)))</f>
        <v/>
      </c>
      <c r="K38" s="64" t="str">
        <f aca="false">IF($M38="","",IF(INDEX(Log!$AI:$AI,$M38)="","",INDEX(Log!$AI:$AI,$M38)))</f>
        <v/>
      </c>
      <c r="L38" s="65" t="str">
        <f aca="false">IF($M38="","",IF(INDEX(Log!$AJ:$AJ,$M38)="","",INDEX(Log!$AJ:$AJ,$M38)))</f>
        <v/>
      </c>
      <c r="M38" s="65" t="str">
        <f aca="false">IFERROR(SMALL(Log!$AM$6:$AM$305,33),"")</f>
        <v/>
      </c>
    </row>
    <row r="39" customFormat="false" ht="30" hidden="false" customHeight="true" outlineLevel="0" collapsed="false">
      <c r="A39" s="67" t="str">
        <f aca="false">IF($M39="","",34)</f>
        <v/>
      </c>
      <c r="B39" s="68" t="str">
        <f aca="false">IF($M39="","",IF(INDEX(Log!$A:$A,$M39)="","",INDEX(Log!$A:$A,$M39)))</f>
        <v/>
      </c>
      <c r="C39" s="68" t="str">
        <f aca="false">IF($M39="","",IF(INDEX(Log!$B:$B,$M39)="","",INDEX(Log!$B:$B,$M39)))</f>
        <v/>
      </c>
      <c r="D39" s="69" t="str">
        <f aca="false">IF($M39="","",IF(INDEX(Log!$C:$C,$M39)="","",INDEX(Log!$C:$C,$M39)))</f>
        <v/>
      </c>
      <c r="E39" s="68" t="str">
        <f aca="false">IF($M39="","",IF(INDEX(Log!$K:$K,$M39)="","",INDEX(Log!$K:$K,$M39)))</f>
        <v/>
      </c>
      <c r="F39" s="68" t="str">
        <f aca="false">IF($M39="","",IF(INDEX(Log!$AD:$AD,$M39)="","",INDEX(Log!$AD:$AD,$M39)))</f>
        <v/>
      </c>
      <c r="G39" s="68" t="str">
        <f aca="false">IF($M39="","",IF(INDEX(Log!$AE:$AE,$M39)="","",INDEX(Log!$AE:$AE,$M39)))</f>
        <v/>
      </c>
      <c r="H39" s="68" t="str">
        <f aca="false">IF($M39="","",IF(INDEX(Log!$AF:$AF,$M39)="","",INDEX(Log!$AF:$AF,$M39)))</f>
        <v/>
      </c>
      <c r="I39" s="69" t="str">
        <f aca="false">IF($M39="","",IF(INDEX(Log!$AG:$AG,$M39)="","",INDEX(Log!$AG:$AG,$M39)))</f>
        <v/>
      </c>
      <c r="J39" s="68" t="str">
        <f aca="false">IF($M39="","",IF(INDEX(Log!$AH:$AH,$M39)="","",INDEX(Log!$AH:$AH,$M39)))</f>
        <v/>
      </c>
      <c r="K39" s="67" t="str">
        <f aca="false">IF($M39="","",IF(INDEX(Log!$AI:$AI,$M39)="","",INDEX(Log!$AI:$AI,$M39)))</f>
        <v/>
      </c>
      <c r="L39" s="68" t="str">
        <f aca="false">IF($M39="","",IF(INDEX(Log!$AJ:$AJ,$M39)="","",INDEX(Log!$AJ:$AJ,$M39)))</f>
        <v/>
      </c>
      <c r="M39" s="68" t="str">
        <f aca="false">IFERROR(SMALL(Log!$AM$6:$AM$305,34),"")</f>
        <v/>
      </c>
    </row>
    <row r="40" customFormat="false" ht="30" hidden="false" customHeight="true" outlineLevel="0" collapsed="false">
      <c r="A40" s="64" t="str">
        <f aca="false">IF($M40="","",35)</f>
        <v/>
      </c>
      <c r="B40" s="65" t="str">
        <f aca="false">IF($M40="","",IF(INDEX(Log!$A:$A,$M40)="","",INDEX(Log!$A:$A,$M40)))</f>
        <v/>
      </c>
      <c r="C40" s="65" t="str">
        <f aca="false">IF($M40="","",IF(INDEX(Log!$B:$B,$M40)="","",INDEX(Log!$B:$B,$M40)))</f>
        <v/>
      </c>
      <c r="D40" s="66" t="str">
        <f aca="false">IF($M40="","",IF(INDEX(Log!$C:$C,$M40)="","",INDEX(Log!$C:$C,$M40)))</f>
        <v/>
      </c>
      <c r="E40" s="65" t="str">
        <f aca="false">IF($M40="","",IF(INDEX(Log!$K:$K,$M40)="","",INDEX(Log!$K:$K,$M40)))</f>
        <v/>
      </c>
      <c r="F40" s="65" t="str">
        <f aca="false">IF($M40="","",IF(INDEX(Log!$AD:$AD,$M40)="","",INDEX(Log!$AD:$AD,$M40)))</f>
        <v/>
      </c>
      <c r="G40" s="65" t="str">
        <f aca="false">IF($M40="","",IF(INDEX(Log!$AE:$AE,$M40)="","",INDEX(Log!$AE:$AE,$M40)))</f>
        <v/>
      </c>
      <c r="H40" s="65" t="str">
        <f aca="false">IF($M40="","",IF(INDEX(Log!$AF:$AF,$M40)="","",INDEX(Log!$AF:$AF,$M40)))</f>
        <v/>
      </c>
      <c r="I40" s="66" t="str">
        <f aca="false">IF($M40="","",IF(INDEX(Log!$AG:$AG,$M40)="","",INDEX(Log!$AG:$AG,$M40)))</f>
        <v/>
      </c>
      <c r="J40" s="65" t="str">
        <f aca="false">IF($M40="","",IF(INDEX(Log!$AH:$AH,$M40)="","",INDEX(Log!$AH:$AH,$M40)))</f>
        <v/>
      </c>
      <c r="K40" s="64" t="str">
        <f aca="false">IF($M40="","",IF(INDEX(Log!$AI:$AI,$M40)="","",INDEX(Log!$AI:$AI,$M40)))</f>
        <v/>
      </c>
      <c r="L40" s="65" t="str">
        <f aca="false">IF($M40="","",IF(INDEX(Log!$AJ:$AJ,$M40)="","",INDEX(Log!$AJ:$AJ,$M40)))</f>
        <v/>
      </c>
      <c r="M40" s="65" t="str">
        <f aca="false">IFERROR(SMALL(Log!$AM$6:$AM$305,35),"")</f>
        <v/>
      </c>
    </row>
    <row r="41" customFormat="false" ht="30" hidden="false" customHeight="true" outlineLevel="0" collapsed="false">
      <c r="A41" s="67" t="str">
        <f aca="false">IF($M41="","",36)</f>
        <v/>
      </c>
      <c r="B41" s="68" t="str">
        <f aca="false">IF($M41="","",IF(INDEX(Log!$A:$A,$M41)="","",INDEX(Log!$A:$A,$M41)))</f>
        <v/>
      </c>
      <c r="C41" s="68" t="str">
        <f aca="false">IF($M41="","",IF(INDEX(Log!$B:$B,$M41)="","",INDEX(Log!$B:$B,$M41)))</f>
        <v/>
      </c>
      <c r="D41" s="69" t="str">
        <f aca="false">IF($M41="","",IF(INDEX(Log!$C:$C,$M41)="","",INDEX(Log!$C:$C,$M41)))</f>
        <v/>
      </c>
      <c r="E41" s="68" t="str">
        <f aca="false">IF($M41="","",IF(INDEX(Log!$K:$K,$M41)="","",INDEX(Log!$K:$K,$M41)))</f>
        <v/>
      </c>
      <c r="F41" s="68" t="str">
        <f aca="false">IF($M41="","",IF(INDEX(Log!$AD:$AD,$M41)="","",INDEX(Log!$AD:$AD,$M41)))</f>
        <v/>
      </c>
      <c r="G41" s="68" t="str">
        <f aca="false">IF($M41="","",IF(INDEX(Log!$AE:$AE,$M41)="","",INDEX(Log!$AE:$AE,$M41)))</f>
        <v/>
      </c>
      <c r="H41" s="68" t="str">
        <f aca="false">IF($M41="","",IF(INDEX(Log!$AF:$AF,$M41)="","",INDEX(Log!$AF:$AF,$M41)))</f>
        <v/>
      </c>
      <c r="I41" s="69" t="str">
        <f aca="false">IF($M41="","",IF(INDEX(Log!$AG:$AG,$M41)="","",INDEX(Log!$AG:$AG,$M41)))</f>
        <v/>
      </c>
      <c r="J41" s="68" t="str">
        <f aca="false">IF($M41="","",IF(INDEX(Log!$AH:$AH,$M41)="","",INDEX(Log!$AH:$AH,$M41)))</f>
        <v/>
      </c>
      <c r="K41" s="67" t="str">
        <f aca="false">IF($M41="","",IF(INDEX(Log!$AI:$AI,$M41)="","",INDEX(Log!$AI:$AI,$M41)))</f>
        <v/>
      </c>
      <c r="L41" s="68" t="str">
        <f aca="false">IF($M41="","",IF(INDEX(Log!$AJ:$AJ,$M41)="","",INDEX(Log!$AJ:$AJ,$M41)))</f>
        <v/>
      </c>
      <c r="M41" s="68" t="str">
        <f aca="false">IFERROR(SMALL(Log!$AM$6:$AM$305,36),"")</f>
        <v/>
      </c>
    </row>
    <row r="42" customFormat="false" ht="30" hidden="false" customHeight="true" outlineLevel="0" collapsed="false">
      <c r="A42" s="64" t="str">
        <f aca="false">IF($M42="","",37)</f>
        <v/>
      </c>
      <c r="B42" s="65" t="str">
        <f aca="false">IF($M42="","",IF(INDEX(Log!$A:$A,$M42)="","",INDEX(Log!$A:$A,$M42)))</f>
        <v/>
      </c>
      <c r="C42" s="65" t="str">
        <f aca="false">IF($M42="","",IF(INDEX(Log!$B:$B,$M42)="","",INDEX(Log!$B:$B,$M42)))</f>
        <v/>
      </c>
      <c r="D42" s="66" t="str">
        <f aca="false">IF($M42="","",IF(INDEX(Log!$C:$C,$M42)="","",INDEX(Log!$C:$C,$M42)))</f>
        <v/>
      </c>
      <c r="E42" s="65" t="str">
        <f aca="false">IF($M42="","",IF(INDEX(Log!$K:$K,$M42)="","",INDEX(Log!$K:$K,$M42)))</f>
        <v/>
      </c>
      <c r="F42" s="65" t="str">
        <f aca="false">IF($M42="","",IF(INDEX(Log!$AD:$AD,$M42)="","",INDEX(Log!$AD:$AD,$M42)))</f>
        <v/>
      </c>
      <c r="G42" s="65" t="str">
        <f aca="false">IF($M42="","",IF(INDEX(Log!$AE:$AE,$M42)="","",INDEX(Log!$AE:$AE,$M42)))</f>
        <v/>
      </c>
      <c r="H42" s="65" t="str">
        <f aca="false">IF($M42="","",IF(INDEX(Log!$AF:$AF,$M42)="","",INDEX(Log!$AF:$AF,$M42)))</f>
        <v/>
      </c>
      <c r="I42" s="66" t="str">
        <f aca="false">IF($M42="","",IF(INDEX(Log!$AG:$AG,$M42)="","",INDEX(Log!$AG:$AG,$M42)))</f>
        <v/>
      </c>
      <c r="J42" s="65" t="str">
        <f aca="false">IF($M42="","",IF(INDEX(Log!$AH:$AH,$M42)="","",INDEX(Log!$AH:$AH,$M42)))</f>
        <v/>
      </c>
      <c r="K42" s="64" t="str">
        <f aca="false">IF($M42="","",IF(INDEX(Log!$AI:$AI,$M42)="","",INDEX(Log!$AI:$AI,$M42)))</f>
        <v/>
      </c>
      <c r="L42" s="65" t="str">
        <f aca="false">IF($M42="","",IF(INDEX(Log!$AJ:$AJ,$M42)="","",INDEX(Log!$AJ:$AJ,$M42)))</f>
        <v/>
      </c>
      <c r="M42" s="65" t="str">
        <f aca="false">IFERROR(SMALL(Log!$AM$6:$AM$305,37),"")</f>
        <v/>
      </c>
    </row>
    <row r="43" customFormat="false" ht="30" hidden="false" customHeight="true" outlineLevel="0" collapsed="false">
      <c r="A43" s="67" t="str">
        <f aca="false">IF($M43="","",38)</f>
        <v/>
      </c>
      <c r="B43" s="68" t="str">
        <f aca="false">IF($M43="","",IF(INDEX(Log!$A:$A,$M43)="","",INDEX(Log!$A:$A,$M43)))</f>
        <v/>
      </c>
      <c r="C43" s="68" t="str">
        <f aca="false">IF($M43="","",IF(INDEX(Log!$B:$B,$M43)="","",INDEX(Log!$B:$B,$M43)))</f>
        <v/>
      </c>
      <c r="D43" s="69" t="str">
        <f aca="false">IF($M43="","",IF(INDEX(Log!$C:$C,$M43)="","",INDEX(Log!$C:$C,$M43)))</f>
        <v/>
      </c>
      <c r="E43" s="68" t="str">
        <f aca="false">IF($M43="","",IF(INDEX(Log!$K:$K,$M43)="","",INDEX(Log!$K:$K,$M43)))</f>
        <v/>
      </c>
      <c r="F43" s="68" t="str">
        <f aca="false">IF($M43="","",IF(INDEX(Log!$AD:$AD,$M43)="","",INDEX(Log!$AD:$AD,$M43)))</f>
        <v/>
      </c>
      <c r="G43" s="68" t="str">
        <f aca="false">IF($M43="","",IF(INDEX(Log!$AE:$AE,$M43)="","",INDEX(Log!$AE:$AE,$M43)))</f>
        <v/>
      </c>
      <c r="H43" s="68" t="str">
        <f aca="false">IF($M43="","",IF(INDEX(Log!$AF:$AF,$M43)="","",INDEX(Log!$AF:$AF,$M43)))</f>
        <v/>
      </c>
      <c r="I43" s="69" t="str">
        <f aca="false">IF($M43="","",IF(INDEX(Log!$AG:$AG,$M43)="","",INDEX(Log!$AG:$AG,$M43)))</f>
        <v/>
      </c>
      <c r="J43" s="68" t="str">
        <f aca="false">IF($M43="","",IF(INDEX(Log!$AH:$AH,$M43)="","",INDEX(Log!$AH:$AH,$M43)))</f>
        <v/>
      </c>
      <c r="K43" s="67" t="str">
        <f aca="false">IF($M43="","",IF(INDEX(Log!$AI:$AI,$M43)="","",INDEX(Log!$AI:$AI,$M43)))</f>
        <v/>
      </c>
      <c r="L43" s="68" t="str">
        <f aca="false">IF($M43="","",IF(INDEX(Log!$AJ:$AJ,$M43)="","",INDEX(Log!$AJ:$AJ,$M43)))</f>
        <v/>
      </c>
      <c r="M43" s="68" t="str">
        <f aca="false">IFERROR(SMALL(Log!$AM$6:$AM$305,38),"")</f>
        <v/>
      </c>
    </row>
    <row r="44" customFormat="false" ht="30" hidden="false" customHeight="true" outlineLevel="0" collapsed="false">
      <c r="A44" s="64" t="str">
        <f aca="false">IF($M44="","",39)</f>
        <v/>
      </c>
      <c r="B44" s="65" t="str">
        <f aca="false">IF($M44="","",IF(INDEX(Log!$A:$A,$M44)="","",INDEX(Log!$A:$A,$M44)))</f>
        <v/>
      </c>
      <c r="C44" s="65" t="str">
        <f aca="false">IF($M44="","",IF(INDEX(Log!$B:$B,$M44)="","",INDEX(Log!$B:$B,$M44)))</f>
        <v/>
      </c>
      <c r="D44" s="66" t="str">
        <f aca="false">IF($M44="","",IF(INDEX(Log!$C:$C,$M44)="","",INDEX(Log!$C:$C,$M44)))</f>
        <v/>
      </c>
      <c r="E44" s="65" t="str">
        <f aca="false">IF($M44="","",IF(INDEX(Log!$K:$K,$M44)="","",INDEX(Log!$K:$K,$M44)))</f>
        <v/>
      </c>
      <c r="F44" s="65" t="str">
        <f aca="false">IF($M44="","",IF(INDEX(Log!$AD:$AD,$M44)="","",INDEX(Log!$AD:$AD,$M44)))</f>
        <v/>
      </c>
      <c r="G44" s="65" t="str">
        <f aca="false">IF($M44="","",IF(INDEX(Log!$AE:$AE,$M44)="","",INDEX(Log!$AE:$AE,$M44)))</f>
        <v/>
      </c>
      <c r="H44" s="65" t="str">
        <f aca="false">IF($M44="","",IF(INDEX(Log!$AF:$AF,$M44)="","",INDEX(Log!$AF:$AF,$M44)))</f>
        <v/>
      </c>
      <c r="I44" s="66" t="str">
        <f aca="false">IF($M44="","",IF(INDEX(Log!$AG:$AG,$M44)="","",INDEX(Log!$AG:$AG,$M44)))</f>
        <v/>
      </c>
      <c r="J44" s="65" t="str">
        <f aca="false">IF($M44="","",IF(INDEX(Log!$AH:$AH,$M44)="","",INDEX(Log!$AH:$AH,$M44)))</f>
        <v/>
      </c>
      <c r="K44" s="64" t="str">
        <f aca="false">IF($M44="","",IF(INDEX(Log!$AI:$AI,$M44)="","",INDEX(Log!$AI:$AI,$M44)))</f>
        <v/>
      </c>
      <c r="L44" s="65" t="str">
        <f aca="false">IF($M44="","",IF(INDEX(Log!$AJ:$AJ,$M44)="","",INDEX(Log!$AJ:$AJ,$M44)))</f>
        <v/>
      </c>
      <c r="M44" s="65" t="str">
        <f aca="false">IFERROR(SMALL(Log!$AM$6:$AM$305,39),"")</f>
        <v/>
      </c>
    </row>
    <row r="45" customFormat="false" ht="30" hidden="false" customHeight="true" outlineLevel="0" collapsed="false">
      <c r="A45" s="67" t="str">
        <f aca="false">IF($M45="","",40)</f>
        <v/>
      </c>
      <c r="B45" s="68" t="str">
        <f aca="false">IF($M45="","",IF(INDEX(Log!$A:$A,$M45)="","",INDEX(Log!$A:$A,$M45)))</f>
        <v/>
      </c>
      <c r="C45" s="68" t="str">
        <f aca="false">IF($M45="","",IF(INDEX(Log!$B:$B,$M45)="","",INDEX(Log!$B:$B,$M45)))</f>
        <v/>
      </c>
      <c r="D45" s="69" t="str">
        <f aca="false">IF($M45="","",IF(INDEX(Log!$C:$C,$M45)="","",INDEX(Log!$C:$C,$M45)))</f>
        <v/>
      </c>
      <c r="E45" s="68" t="str">
        <f aca="false">IF($M45="","",IF(INDEX(Log!$K:$K,$M45)="","",INDEX(Log!$K:$K,$M45)))</f>
        <v/>
      </c>
      <c r="F45" s="68" t="str">
        <f aca="false">IF($M45="","",IF(INDEX(Log!$AD:$AD,$M45)="","",INDEX(Log!$AD:$AD,$M45)))</f>
        <v/>
      </c>
      <c r="G45" s="68" t="str">
        <f aca="false">IF($M45="","",IF(INDEX(Log!$AE:$AE,$M45)="","",INDEX(Log!$AE:$AE,$M45)))</f>
        <v/>
      </c>
      <c r="H45" s="68" t="str">
        <f aca="false">IF($M45="","",IF(INDEX(Log!$AF:$AF,$M45)="","",INDEX(Log!$AF:$AF,$M45)))</f>
        <v/>
      </c>
      <c r="I45" s="69" t="str">
        <f aca="false">IF($M45="","",IF(INDEX(Log!$AG:$AG,$M45)="","",INDEX(Log!$AG:$AG,$M45)))</f>
        <v/>
      </c>
      <c r="J45" s="68" t="str">
        <f aca="false">IF($M45="","",IF(INDEX(Log!$AH:$AH,$M45)="","",INDEX(Log!$AH:$AH,$M45)))</f>
        <v/>
      </c>
      <c r="K45" s="67" t="str">
        <f aca="false">IF($M45="","",IF(INDEX(Log!$AI:$AI,$M45)="","",INDEX(Log!$AI:$AI,$M45)))</f>
        <v/>
      </c>
      <c r="L45" s="68" t="str">
        <f aca="false">IF($M45="","",IF(INDEX(Log!$AJ:$AJ,$M45)="","",INDEX(Log!$AJ:$AJ,$M45)))</f>
        <v/>
      </c>
      <c r="M45" s="68" t="str">
        <f aca="false">IFERROR(SMALL(Log!$AM$6:$AM$305,40),"")</f>
        <v/>
      </c>
    </row>
    <row r="46" customFormat="false" ht="30" hidden="false" customHeight="true" outlineLevel="0" collapsed="false">
      <c r="A46" s="64" t="str">
        <f aca="false">IF($M46="","",41)</f>
        <v/>
      </c>
      <c r="B46" s="65" t="str">
        <f aca="false">IF($M46="","",IF(INDEX(Log!$A:$A,$M46)="","",INDEX(Log!$A:$A,$M46)))</f>
        <v/>
      </c>
      <c r="C46" s="65" t="str">
        <f aca="false">IF($M46="","",IF(INDEX(Log!$B:$B,$M46)="","",INDEX(Log!$B:$B,$M46)))</f>
        <v/>
      </c>
      <c r="D46" s="66" t="str">
        <f aca="false">IF($M46="","",IF(INDEX(Log!$C:$C,$M46)="","",INDEX(Log!$C:$C,$M46)))</f>
        <v/>
      </c>
      <c r="E46" s="65" t="str">
        <f aca="false">IF($M46="","",IF(INDEX(Log!$K:$K,$M46)="","",INDEX(Log!$K:$K,$M46)))</f>
        <v/>
      </c>
      <c r="F46" s="65" t="str">
        <f aca="false">IF($M46="","",IF(INDEX(Log!$AD:$AD,$M46)="","",INDEX(Log!$AD:$AD,$M46)))</f>
        <v/>
      </c>
      <c r="G46" s="65" t="str">
        <f aca="false">IF($M46="","",IF(INDEX(Log!$AE:$AE,$M46)="","",INDEX(Log!$AE:$AE,$M46)))</f>
        <v/>
      </c>
      <c r="H46" s="65" t="str">
        <f aca="false">IF($M46="","",IF(INDEX(Log!$AF:$AF,$M46)="","",INDEX(Log!$AF:$AF,$M46)))</f>
        <v/>
      </c>
      <c r="I46" s="66" t="str">
        <f aca="false">IF($M46="","",IF(INDEX(Log!$AG:$AG,$M46)="","",INDEX(Log!$AG:$AG,$M46)))</f>
        <v/>
      </c>
      <c r="J46" s="65" t="str">
        <f aca="false">IF($M46="","",IF(INDEX(Log!$AH:$AH,$M46)="","",INDEX(Log!$AH:$AH,$M46)))</f>
        <v/>
      </c>
      <c r="K46" s="64" t="str">
        <f aca="false">IF($M46="","",IF(INDEX(Log!$AI:$AI,$M46)="","",INDEX(Log!$AI:$AI,$M46)))</f>
        <v/>
      </c>
      <c r="L46" s="65" t="str">
        <f aca="false">IF($M46="","",IF(INDEX(Log!$AJ:$AJ,$M46)="","",INDEX(Log!$AJ:$AJ,$M46)))</f>
        <v/>
      </c>
      <c r="M46" s="65" t="str">
        <f aca="false">IFERROR(SMALL(Log!$AM$6:$AM$305,41),"")</f>
        <v/>
      </c>
    </row>
    <row r="47" customFormat="false" ht="30" hidden="false" customHeight="true" outlineLevel="0" collapsed="false">
      <c r="A47" s="67" t="str">
        <f aca="false">IF($M47="","",42)</f>
        <v/>
      </c>
      <c r="B47" s="68" t="str">
        <f aca="false">IF($M47="","",IF(INDEX(Log!$A:$A,$M47)="","",INDEX(Log!$A:$A,$M47)))</f>
        <v/>
      </c>
      <c r="C47" s="68" t="str">
        <f aca="false">IF($M47="","",IF(INDEX(Log!$B:$B,$M47)="","",INDEX(Log!$B:$B,$M47)))</f>
        <v/>
      </c>
      <c r="D47" s="69" t="str">
        <f aca="false">IF($M47="","",IF(INDEX(Log!$C:$C,$M47)="","",INDEX(Log!$C:$C,$M47)))</f>
        <v/>
      </c>
      <c r="E47" s="68" t="str">
        <f aca="false">IF($M47="","",IF(INDEX(Log!$K:$K,$M47)="","",INDEX(Log!$K:$K,$M47)))</f>
        <v/>
      </c>
      <c r="F47" s="68" t="str">
        <f aca="false">IF($M47="","",IF(INDEX(Log!$AD:$AD,$M47)="","",INDEX(Log!$AD:$AD,$M47)))</f>
        <v/>
      </c>
      <c r="G47" s="68" t="str">
        <f aca="false">IF($M47="","",IF(INDEX(Log!$AE:$AE,$M47)="","",INDEX(Log!$AE:$AE,$M47)))</f>
        <v/>
      </c>
      <c r="H47" s="68" t="str">
        <f aca="false">IF($M47="","",IF(INDEX(Log!$AF:$AF,$M47)="","",INDEX(Log!$AF:$AF,$M47)))</f>
        <v/>
      </c>
      <c r="I47" s="69" t="str">
        <f aca="false">IF($M47="","",IF(INDEX(Log!$AG:$AG,$M47)="","",INDEX(Log!$AG:$AG,$M47)))</f>
        <v/>
      </c>
      <c r="J47" s="68" t="str">
        <f aca="false">IF($M47="","",IF(INDEX(Log!$AH:$AH,$M47)="","",INDEX(Log!$AH:$AH,$M47)))</f>
        <v/>
      </c>
      <c r="K47" s="67" t="str">
        <f aca="false">IF($M47="","",IF(INDEX(Log!$AI:$AI,$M47)="","",INDEX(Log!$AI:$AI,$M47)))</f>
        <v/>
      </c>
      <c r="L47" s="68" t="str">
        <f aca="false">IF($M47="","",IF(INDEX(Log!$AJ:$AJ,$M47)="","",INDEX(Log!$AJ:$AJ,$M47)))</f>
        <v/>
      </c>
      <c r="M47" s="68" t="str">
        <f aca="false">IFERROR(SMALL(Log!$AM$6:$AM$305,42),"")</f>
        <v/>
      </c>
    </row>
    <row r="48" customFormat="false" ht="30" hidden="false" customHeight="true" outlineLevel="0" collapsed="false">
      <c r="A48" s="64" t="str">
        <f aca="false">IF($M48="","",43)</f>
        <v/>
      </c>
      <c r="B48" s="65" t="str">
        <f aca="false">IF($M48="","",IF(INDEX(Log!$A:$A,$M48)="","",INDEX(Log!$A:$A,$M48)))</f>
        <v/>
      </c>
      <c r="C48" s="65" t="str">
        <f aca="false">IF($M48="","",IF(INDEX(Log!$B:$B,$M48)="","",INDEX(Log!$B:$B,$M48)))</f>
        <v/>
      </c>
      <c r="D48" s="66" t="str">
        <f aca="false">IF($M48="","",IF(INDEX(Log!$C:$C,$M48)="","",INDEX(Log!$C:$C,$M48)))</f>
        <v/>
      </c>
      <c r="E48" s="65" t="str">
        <f aca="false">IF($M48="","",IF(INDEX(Log!$K:$K,$M48)="","",INDEX(Log!$K:$K,$M48)))</f>
        <v/>
      </c>
      <c r="F48" s="65" t="str">
        <f aca="false">IF($M48="","",IF(INDEX(Log!$AD:$AD,$M48)="","",INDEX(Log!$AD:$AD,$M48)))</f>
        <v/>
      </c>
      <c r="G48" s="65" t="str">
        <f aca="false">IF($M48="","",IF(INDEX(Log!$AE:$AE,$M48)="","",INDEX(Log!$AE:$AE,$M48)))</f>
        <v/>
      </c>
      <c r="H48" s="65" t="str">
        <f aca="false">IF($M48="","",IF(INDEX(Log!$AF:$AF,$M48)="","",INDEX(Log!$AF:$AF,$M48)))</f>
        <v/>
      </c>
      <c r="I48" s="66" t="str">
        <f aca="false">IF($M48="","",IF(INDEX(Log!$AG:$AG,$M48)="","",INDEX(Log!$AG:$AG,$M48)))</f>
        <v/>
      </c>
      <c r="J48" s="65" t="str">
        <f aca="false">IF($M48="","",IF(INDEX(Log!$AH:$AH,$M48)="","",INDEX(Log!$AH:$AH,$M48)))</f>
        <v/>
      </c>
      <c r="K48" s="64" t="str">
        <f aca="false">IF($M48="","",IF(INDEX(Log!$AI:$AI,$M48)="","",INDEX(Log!$AI:$AI,$M48)))</f>
        <v/>
      </c>
      <c r="L48" s="65" t="str">
        <f aca="false">IF($M48="","",IF(INDEX(Log!$AJ:$AJ,$M48)="","",INDEX(Log!$AJ:$AJ,$M48)))</f>
        <v/>
      </c>
      <c r="M48" s="65" t="str">
        <f aca="false">IFERROR(SMALL(Log!$AM$6:$AM$305,43),"")</f>
        <v/>
      </c>
    </row>
    <row r="49" customFormat="false" ht="30" hidden="false" customHeight="true" outlineLevel="0" collapsed="false">
      <c r="A49" s="67" t="str">
        <f aca="false">IF($M49="","",44)</f>
        <v/>
      </c>
      <c r="B49" s="68" t="str">
        <f aca="false">IF($M49="","",IF(INDEX(Log!$A:$A,$M49)="","",INDEX(Log!$A:$A,$M49)))</f>
        <v/>
      </c>
      <c r="C49" s="68" t="str">
        <f aca="false">IF($M49="","",IF(INDEX(Log!$B:$B,$M49)="","",INDEX(Log!$B:$B,$M49)))</f>
        <v/>
      </c>
      <c r="D49" s="69" t="str">
        <f aca="false">IF($M49="","",IF(INDEX(Log!$C:$C,$M49)="","",INDEX(Log!$C:$C,$M49)))</f>
        <v/>
      </c>
      <c r="E49" s="68" t="str">
        <f aca="false">IF($M49="","",IF(INDEX(Log!$K:$K,$M49)="","",INDEX(Log!$K:$K,$M49)))</f>
        <v/>
      </c>
      <c r="F49" s="68" t="str">
        <f aca="false">IF($M49="","",IF(INDEX(Log!$AD:$AD,$M49)="","",INDEX(Log!$AD:$AD,$M49)))</f>
        <v/>
      </c>
      <c r="G49" s="68" t="str">
        <f aca="false">IF($M49="","",IF(INDEX(Log!$AE:$AE,$M49)="","",INDEX(Log!$AE:$AE,$M49)))</f>
        <v/>
      </c>
      <c r="H49" s="68" t="str">
        <f aca="false">IF($M49="","",IF(INDEX(Log!$AF:$AF,$M49)="","",INDEX(Log!$AF:$AF,$M49)))</f>
        <v/>
      </c>
      <c r="I49" s="69" t="str">
        <f aca="false">IF($M49="","",IF(INDEX(Log!$AG:$AG,$M49)="","",INDEX(Log!$AG:$AG,$M49)))</f>
        <v/>
      </c>
      <c r="J49" s="68" t="str">
        <f aca="false">IF($M49="","",IF(INDEX(Log!$AH:$AH,$M49)="","",INDEX(Log!$AH:$AH,$M49)))</f>
        <v/>
      </c>
      <c r="K49" s="67" t="str">
        <f aca="false">IF($M49="","",IF(INDEX(Log!$AI:$AI,$M49)="","",INDEX(Log!$AI:$AI,$M49)))</f>
        <v/>
      </c>
      <c r="L49" s="68" t="str">
        <f aca="false">IF($M49="","",IF(INDEX(Log!$AJ:$AJ,$M49)="","",INDEX(Log!$AJ:$AJ,$M49)))</f>
        <v/>
      </c>
      <c r="M49" s="68" t="str">
        <f aca="false">IFERROR(SMALL(Log!$AM$6:$AM$305,44),"")</f>
        <v/>
      </c>
    </row>
    <row r="50" customFormat="false" ht="30" hidden="false" customHeight="true" outlineLevel="0" collapsed="false">
      <c r="A50" s="64" t="str">
        <f aca="false">IF($M50="","",45)</f>
        <v/>
      </c>
      <c r="B50" s="65" t="str">
        <f aca="false">IF($M50="","",IF(INDEX(Log!$A:$A,$M50)="","",INDEX(Log!$A:$A,$M50)))</f>
        <v/>
      </c>
      <c r="C50" s="65" t="str">
        <f aca="false">IF($M50="","",IF(INDEX(Log!$B:$B,$M50)="","",INDEX(Log!$B:$B,$M50)))</f>
        <v/>
      </c>
      <c r="D50" s="66" t="str">
        <f aca="false">IF($M50="","",IF(INDEX(Log!$C:$C,$M50)="","",INDEX(Log!$C:$C,$M50)))</f>
        <v/>
      </c>
      <c r="E50" s="65" t="str">
        <f aca="false">IF($M50="","",IF(INDEX(Log!$K:$K,$M50)="","",INDEX(Log!$K:$K,$M50)))</f>
        <v/>
      </c>
      <c r="F50" s="65" t="str">
        <f aca="false">IF($M50="","",IF(INDEX(Log!$AD:$AD,$M50)="","",INDEX(Log!$AD:$AD,$M50)))</f>
        <v/>
      </c>
      <c r="G50" s="65" t="str">
        <f aca="false">IF($M50="","",IF(INDEX(Log!$AE:$AE,$M50)="","",INDEX(Log!$AE:$AE,$M50)))</f>
        <v/>
      </c>
      <c r="H50" s="65" t="str">
        <f aca="false">IF($M50="","",IF(INDEX(Log!$AF:$AF,$M50)="","",INDEX(Log!$AF:$AF,$M50)))</f>
        <v/>
      </c>
      <c r="I50" s="66" t="str">
        <f aca="false">IF($M50="","",IF(INDEX(Log!$AG:$AG,$M50)="","",INDEX(Log!$AG:$AG,$M50)))</f>
        <v/>
      </c>
      <c r="J50" s="65" t="str">
        <f aca="false">IF($M50="","",IF(INDEX(Log!$AH:$AH,$M50)="","",INDEX(Log!$AH:$AH,$M50)))</f>
        <v/>
      </c>
      <c r="K50" s="64" t="str">
        <f aca="false">IF($M50="","",IF(INDEX(Log!$AI:$AI,$M50)="","",INDEX(Log!$AI:$AI,$M50)))</f>
        <v/>
      </c>
      <c r="L50" s="65" t="str">
        <f aca="false">IF($M50="","",IF(INDEX(Log!$AJ:$AJ,$M50)="","",INDEX(Log!$AJ:$AJ,$M50)))</f>
        <v/>
      </c>
      <c r="M50" s="65" t="str">
        <f aca="false">IFERROR(SMALL(Log!$AM$6:$AM$305,45),"")</f>
        <v/>
      </c>
    </row>
    <row r="51" customFormat="false" ht="30" hidden="false" customHeight="true" outlineLevel="0" collapsed="false">
      <c r="A51" s="67" t="str">
        <f aca="false">IF($M51="","",46)</f>
        <v/>
      </c>
      <c r="B51" s="68" t="str">
        <f aca="false">IF($M51="","",IF(INDEX(Log!$A:$A,$M51)="","",INDEX(Log!$A:$A,$M51)))</f>
        <v/>
      </c>
      <c r="C51" s="68" t="str">
        <f aca="false">IF($M51="","",IF(INDEX(Log!$B:$B,$M51)="","",INDEX(Log!$B:$B,$M51)))</f>
        <v/>
      </c>
      <c r="D51" s="69" t="str">
        <f aca="false">IF($M51="","",IF(INDEX(Log!$C:$C,$M51)="","",INDEX(Log!$C:$C,$M51)))</f>
        <v/>
      </c>
      <c r="E51" s="68" t="str">
        <f aca="false">IF($M51="","",IF(INDEX(Log!$K:$K,$M51)="","",INDEX(Log!$K:$K,$M51)))</f>
        <v/>
      </c>
      <c r="F51" s="68" t="str">
        <f aca="false">IF($M51="","",IF(INDEX(Log!$AD:$AD,$M51)="","",INDEX(Log!$AD:$AD,$M51)))</f>
        <v/>
      </c>
      <c r="G51" s="68" t="str">
        <f aca="false">IF($M51="","",IF(INDEX(Log!$AE:$AE,$M51)="","",INDEX(Log!$AE:$AE,$M51)))</f>
        <v/>
      </c>
      <c r="H51" s="68" t="str">
        <f aca="false">IF($M51="","",IF(INDEX(Log!$AF:$AF,$M51)="","",INDEX(Log!$AF:$AF,$M51)))</f>
        <v/>
      </c>
      <c r="I51" s="69" t="str">
        <f aca="false">IF($M51="","",IF(INDEX(Log!$AG:$AG,$M51)="","",INDEX(Log!$AG:$AG,$M51)))</f>
        <v/>
      </c>
      <c r="J51" s="68" t="str">
        <f aca="false">IF($M51="","",IF(INDEX(Log!$AH:$AH,$M51)="","",INDEX(Log!$AH:$AH,$M51)))</f>
        <v/>
      </c>
      <c r="K51" s="67" t="str">
        <f aca="false">IF($M51="","",IF(INDEX(Log!$AI:$AI,$M51)="","",INDEX(Log!$AI:$AI,$M51)))</f>
        <v/>
      </c>
      <c r="L51" s="68" t="str">
        <f aca="false">IF($M51="","",IF(INDEX(Log!$AJ:$AJ,$M51)="","",INDEX(Log!$AJ:$AJ,$M51)))</f>
        <v/>
      </c>
      <c r="M51" s="68" t="str">
        <f aca="false">IFERROR(SMALL(Log!$AM$6:$AM$305,46),"")</f>
        <v/>
      </c>
    </row>
    <row r="52" customFormat="false" ht="30" hidden="false" customHeight="true" outlineLevel="0" collapsed="false">
      <c r="A52" s="64" t="str">
        <f aca="false">IF($M52="","",47)</f>
        <v/>
      </c>
      <c r="B52" s="65" t="str">
        <f aca="false">IF($M52="","",IF(INDEX(Log!$A:$A,$M52)="","",INDEX(Log!$A:$A,$M52)))</f>
        <v/>
      </c>
      <c r="C52" s="65" t="str">
        <f aca="false">IF($M52="","",IF(INDEX(Log!$B:$B,$M52)="","",INDEX(Log!$B:$B,$M52)))</f>
        <v/>
      </c>
      <c r="D52" s="66" t="str">
        <f aca="false">IF($M52="","",IF(INDEX(Log!$C:$C,$M52)="","",INDEX(Log!$C:$C,$M52)))</f>
        <v/>
      </c>
      <c r="E52" s="65" t="str">
        <f aca="false">IF($M52="","",IF(INDEX(Log!$K:$K,$M52)="","",INDEX(Log!$K:$K,$M52)))</f>
        <v/>
      </c>
      <c r="F52" s="65" t="str">
        <f aca="false">IF($M52="","",IF(INDEX(Log!$AD:$AD,$M52)="","",INDEX(Log!$AD:$AD,$M52)))</f>
        <v/>
      </c>
      <c r="G52" s="65" t="str">
        <f aca="false">IF($M52="","",IF(INDEX(Log!$AE:$AE,$M52)="","",INDEX(Log!$AE:$AE,$M52)))</f>
        <v/>
      </c>
      <c r="H52" s="65" t="str">
        <f aca="false">IF($M52="","",IF(INDEX(Log!$AF:$AF,$M52)="","",INDEX(Log!$AF:$AF,$M52)))</f>
        <v/>
      </c>
      <c r="I52" s="66" t="str">
        <f aca="false">IF($M52="","",IF(INDEX(Log!$AG:$AG,$M52)="","",INDEX(Log!$AG:$AG,$M52)))</f>
        <v/>
      </c>
      <c r="J52" s="65" t="str">
        <f aca="false">IF($M52="","",IF(INDEX(Log!$AH:$AH,$M52)="","",INDEX(Log!$AH:$AH,$M52)))</f>
        <v/>
      </c>
      <c r="K52" s="64" t="str">
        <f aca="false">IF($M52="","",IF(INDEX(Log!$AI:$AI,$M52)="","",INDEX(Log!$AI:$AI,$M52)))</f>
        <v/>
      </c>
      <c r="L52" s="65" t="str">
        <f aca="false">IF($M52="","",IF(INDEX(Log!$AJ:$AJ,$M52)="","",INDEX(Log!$AJ:$AJ,$M52)))</f>
        <v/>
      </c>
      <c r="M52" s="65" t="str">
        <f aca="false">IFERROR(SMALL(Log!$AM$6:$AM$305,47),"")</f>
        <v/>
      </c>
    </row>
    <row r="53" customFormat="false" ht="30" hidden="false" customHeight="true" outlineLevel="0" collapsed="false">
      <c r="A53" s="67" t="str">
        <f aca="false">IF($M53="","",48)</f>
        <v/>
      </c>
      <c r="B53" s="68" t="str">
        <f aca="false">IF($M53="","",IF(INDEX(Log!$A:$A,$M53)="","",INDEX(Log!$A:$A,$M53)))</f>
        <v/>
      </c>
      <c r="C53" s="68" t="str">
        <f aca="false">IF($M53="","",IF(INDEX(Log!$B:$B,$M53)="","",INDEX(Log!$B:$B,$M53)))</f>
        <v/>
      </c>
      <c r="D53" s="69" t="str">
        <f aca="false">IF($M53="","",IF(INDEX(Log!$C:$C,$M53)="","",INDEX(Log!$C:$C,$M53)))</f>
        <v/>
      </c>
      <c r="E53" s="68" t="str">
        <f aca="false">IF($M53="","",IF(INDEX(Log!$K:$K,$M53)="","",INDEX(Log!$K:$K,$M53)))</f>
        <v/>
      </c>
      <c r="F53" s="68" t="str">
        <f aca="false">IF($M53="","",IF(INDEX(Log!$AD:$AD,$M53)="","",INDEX(Log!$AD:$AD,$M53)))</f>
        <v/>
      </c>
      <c r="G53" s="68" t="str">
        <f aca="false">IF($M53="","",IF(INDEX(Log!$AE:$AE,$M53)="","",INDEX(Log!$AE:$AE,$M53)))</f>
        <v/>
      </c>
      <c r="H53" s="68" t="str">
        <f aca="false">IF($M53="","",IF(INDEX(Log!$AF:$AF,$M53)="","",INDEX(Log!$AF:$AF,$M53)))</f>
        <v/>
      </c>
      <c r="I53" s="69" t="str">
        <f aca="false">IF($M53="","",IF(INDEX(Log!$AG:$AG,$M53)="","",INDEX(Log!$AG:$AG,$M53)))</f>
        <v/>
      </c>
      <c r="J53" s="68" t="str">
        <f aca="false">IF($M53="","",IF(INDEX(Log!$AH:$AH,$M53)="","",INDEX(Log!$AH:$AH,$M53)))</f>
        <v/>
      </c>
      <c r="K53" s="67" t="str">
        <f aca="false">IF($M53="","",IF(INDEX(Log!$AI:$AI,$M53)="","",INDEX(Log!$AI:$AI,$M53)))</f>
        <v/>
      </c>
      <c r="L53" s="68" t="str">
        <f aca="false">IF($M53="","",IF(INDEX(Log!$AJ:$AJ,$M53)="","",INDEX(Log!$AJ:$AJ,$M53)))</f>
        <v/>
      </c>
      <c r="M53" s="68" t="str">
        <f aca="false">IFERROR(SMALL(Log!$AM$6:$AM$305,48),"")</f>
        <v/>
      </c>
    </row>
    <row r="54" customFormat="false" ht="30" hidden="false" customHeight="true" outlineLevel="0" collapsed="false">
      <c r="A54" s="64" t="str">
        <f aca="false">IF($M54="","",49)</f>
        <v/>
      </c>
      <c r="B54" s="65" t="str">
        <f aca="false">IF($M54="","",IF(INDEX(Log!$A:$A,$M54)="","",INDEX(Log!$A:$A,$M54)))</f>
        <v/>
      </c>
      <c r="C54" s="65" t="str">
        <f aca="false">IF($M54="","",IF(INDEX(Log!$B:$B,$M54)="","",INDEX(Log!$B:$B,$M54)))</f>
        <v/>
      </c>
      <c r="D54" s="66" t="str">
        <f aca="false">IF($M54="","",IF(INDEX(Log!$C:$C,$M54)="","",INDEX(Log!$C:$C,$M54)))</f>
        <v/>
      </c>
      <c r="E54" s="65" t="str">
        <f aca="false">IF($M54="","",IF(INDEX(Log!$K:$K,$M54)="","",INDEX(Log!$K:$K,$M54)))</f>
        <v/>
      </c>
      <c r="F54" s="65" t="str">
        <f aca="false">IF($M54="","",IF(INDEX(Log!$AD:$AD,$M54)="","",INDEX(Log!$AD:$AD,$M54)))</f>
        <v/>
      </c>
      <c r="G54" s="65" t="str">
        <f aca="false">IF($M54="","",IF(INDEX(Log!$AE:$AE,$M54)="","",INDEX(Log!$AE:$AE,$M54)))</f>
        <v/>
      </c>
      <c r="H54" s="65" t="str">
        <f aca="false">IF($M54="","",IF(INDEX(Log!$AF:$AF,$M54)="","",INDEX(Log!$AF:$AF,$M54)))</f>
        <v/>
      </c>
      <c r="I54" s="66" t="str">
        <f aca="false">IF($M54="","",IF(INDEX(Log!$AG:$AG,$M54)="","",INDEX(Log!$AG:$AG,$M54)))</f>
        <v/>
      </c>
      <c r="J54" s="65" t="str">
        <f aca="false">IF($M54="","",IF(INDEX(Log!$AH:$AH,$M54)="","",INDEX(Log!$AH:$AH,$M54)))</f>
        <v/>
      </c>
      <c r="K54" s="64" t="str">
        <f aca="false">IF($M54="","",IF(INDEX(Log!$AI:$AI,$M54)="","",INDEX(Log!$AI:$AI,$M54)))</f>
        <v/>
      </c>
      <c r="L54" s="65" t="str">
        <f aca="false">IF($M54="","",IF(INDEX(Log!$AJ:$AJ,$M54)="","",INDEX(Log!$AJ:$AJ,$M54)))</f>
        <v/>
      </c>
      <c r="M54" s="65" t="str">
        <f aca="false">IFERROR(SMALL(Log!$AM$6:$AM$305,49),"")</f>
        <v/>
      </c>
    </row>
    <row r="55" customFormat="false" ht="30" hidden="false" customHeight="true" outlineLevel="0" collapsed="false">
      <c r="A55" s="67" t="str">
        <f aca="false">IF($M55="","",50)</f>
        <v/>
      </c>
      <c r="B55" s="68" t="str">
        <f aca="false">IF($M55="","",IF(INDEX(Log!$A:$A,$M55)="","",INDEX(Log!$A:$A,$M55)))</f>
        <v/>
      </c>
      <c r="C55" s="68" t="str">
        <f aca="false">IF($M55="","",IF(INDEX(Log!$B:$B,$M55)="","",INDEX(Log!$B:$B,$M55)))</f>
        <v/>
      </c>
      <c r="D55" s="69" t="str">
        <f aca="false">IF($M55="","",IF(INDEX(Log!$C:$C,$M55)="","",INDEX(Log!$C:$C,$M55)))</f>
        <v/>
      </c>
      <c r="E55" s="68" t="str">
        <f aca="false">IF($M55="","",IF(INDEX(Log!$K:$K,$M55)="","",INDEX(Log!$K:$K,$M55)))</f>
        <v/>
      </c>
      <c r="F55" s="68" t="str">
        <f aca="false">IF($M55="","",IF(INDEX(Log!$AD:$AD,$M55)="","",INDEX(Log!$AD:$AD,$M55)))</f>
        <v/>
      </c>
      <c r="G55" s="68" t="str">
        <f aca="false">IF($M55="","",IF(INDEX(Log!$AE:$AE,$M55)="","",INDEX(Log!$AE:$AE,$M55)))</f>
        <v/>
      </c>
      <c r="H55" s="68" t="str">
        <f aca="false">IF($M55="","",IF(INDEX(Log!$AF:$AF,$M55)="","",INDEX(Log!$AF:$AF,$M55)))</f>
        <v/>
      </c>
      <c r="I55" s="69" t="str">
        <f aca="false">IF($M55="","",IF(INDEX(Log!$AG:$AG,$M55)="","",INDEX(Log!$AG:$AG,$M55)))</f>
        <v/>
      </c>
      <c r="J55" s="68" t="str">
        <f aca="false">IF($M55="","",IF(INDEX(Log!$AH:$AH,$M55)="","",INDEX(Log!$AH:$AH,$M55)))</f>
        <v/>
      </c>
      <c r="K55" s="67" t="str">
        <f aca="false">IF($M55="","",IF(INDEX(Log!$AI:$AI,$M55)="","",INDEX(Log!$AI:$AI,$M55)))</f>
        <v/>
      </c>
      <c r="L55" s="68" t="str">
        <f aca="false">IF($M55="","",IF(INDEX(Log!$AJ:$AJ,$M55)="","",INDEX(Log!$AJ:$AJ,$M55)))</f>
        <v/>
      </c>
      <c r="M55" s="68" t="str">
        <f aca="false">IFERROR(SMALL(Log!$AM$6:$AM$305,50),"")</f>
        <v/>
      </c>
    </row>
    <row r="56" customFormat="false" ht="30" hidden="false" customHeight="true" outlineLevel="0" collapsed="false">
      <c r="A56" s="64" t="str">
        <f aca="false">IF($M56="","",51)</f>
        <v/>
      </c>
      <c r="B56" s="65" t="str">
        <f aca="false">IF($M56="","",IF(INDEX(Log!$A:$A,$M56)="","",INDEX(Log!$A:$A,$M56)))</f>
        <v/>
      </c>
      <c r="C56" s="65" t="str">
        <f aca="false">IF($M56="","",IF(INDEX(Log!$B:$B,$M56)="","",INDEX(Log!$B:$B,$M56)))</f>
        <v/>
      </c>
      <c r="D56" s="66" t="str">
        <f aca="false">IF($M56="","",IF(INDEX(Log!$C:$C,$M56)="","",INDEX(Log!$C:$C,$M56)))</f>
        <v/>
      </c>
      <c r="E56" s="65" t="str">
        <f aca="false">IF($M56="","",IF(INDEX(Log!$K:$K,$M56)="","",INDEX(Log!$K:$K,$M56)))</f>
        <v/>
      </c>
      <c r="F56" s="65" t="str">
        <f aca="false">IF($M56="","",IF(INDEX(Log!$AD:$AD,$M56)="","",INDEX(Log!$AD:$AD,$M56)))</f>
        <v/>
      </c>
      <c r="G56" s="65" t="str">
        <f aca="false">IF($M56="","",IF(INDEX(Log!$AE:$AE,$M56)="","",INDEX(Log!$AE:$AE,$M56)))</f>
        <v/>
      </c>
      <c r="H56" s="65" t="str">
        <f aca="false">IF($M56="","",IF(INDEX(Log!$AF:$AF,$M56)="","",INDEX(Log!$AF:$AF,$M56)))</f>
        <v/>
      </c>
      <c r="I56" s="66" t="str">
        <f aca="false">IF($M56="","",IF(INDEX(Log!$AG:$AG,$M56)="","",INDEX(Log!$AG:$AG,$M56)))</f>
        <v/>
      </c>
      <c r="J56" s="65" t="str">
        <f aca="false">IF($M56="","",IF(INDEX(Log!$AH:$AH,$M56)="","",INDEX(Log!$AH:$AH,$M56)))</f>
        <v/>
      </c>
      <c r="K56" s="64" t="str">
        <f aca="false">IF($M56="","",IF(INDEX(Log!$AI:$AI,$M56)="","",INDEX(Log!$AI:$AI,$M56)))</f>
        <v/>
      </c>
      <c r="L56" s="65" t="str">
        <f aca="false">IF($M56="","",IF(INDEX(Log!$AJ:$AJ,$M56)="","",INDEX(Log!$AJ:$AJ,$M56)))</f>
        <v/>
      </c>
      <c r="M56" s="65" t="str">
        <f aca="false">IFERROR(SMALL(Log!$AM$6:$AM$305,51),"")</f>
        <v/>
      </c>
    </row>
    <row r="57" customFormat="false" ht="30" hidden="false" customHeight="true" outlineLevel="0" collapsed="false">
      <c r="A57" s="67" t="str">
        <f aca="false">IF($M57="","",52)</f>
        <v/>
      </c>
      <c r="B57" s="68" t="str">
        <f aca="false">IF($M57="","",IF(INDEX(Log!$A:$A,$M57)="","",INDEX(Log!$A:$A,$M57)))</f>
        <v/>
      </c>
      <c r="C57" s="68" t="str">
        <f aca="false">IF($M57="","",IF(INDEX(Log!$B:$B,$M57)="","",INDEX(Log!$B:$B,$M57)))</f>
        <v/>
      </c>
      <c r="D57" s="69" t="str">
        <f aca="false">IF($M57="","",IF(INDEX(Log!$C:$C,$M57)="","",INDEX(Log!$C:$C,$M57)))</f>
        <v/>
      </c>
      <c r="E57" s="68" t="str">
        <f aca="false">IF($M57="","",IF(INDEX(Log!$K:$K,$M57)="","",INDEX(Log!$K:$K,$M57)))</f>
        <v/>
      </c>
      <c r="F57" s="68" t="str">
        <f aca="false">IF($M57="","",IF(INDEX(Log!$AD:$AD,$M57)="","",INDEX(Log!$AD:$AD,$M57)))</f>
        <v/>
      </c>
      <c r="G57" s="68" t="str">
        <f aca="false">IF($M57="","",IF(INDEX(Log!$AE:$AE,$M57)="","",INDEX(Log!$AE:$AE,$M57)))</f>
        <v/>
      </c>
      <c r="H57" s="68" t="str">
        <f aca="false">IF($M57="","",IF(INDEX(Log!$AF:$AF,$M57)="","",INDEX(Log!$AF:$AF,$M57)))</f>
        <v/>
      </c>
      <c r="I57" s="69" t="str">
        <f aca="false">IF($M57="","",IF(INDEX(Log!$AG:$AG,$M57)="","",INDEX(Log!$AG:$AG,$M57)))</f>
        <v/>
      </c>
      <c r="J57" s="68" t="str">
        <f aca="false">IF($M57="","",IF(INDEX(Log!$AH:$AH,$M57)="","",INDEX(Log!$AH:$AH,$M57)))</f>
        <v/>
      </c>
      <c r="K57" s="67" t="str">
        <f aca="false">IF($M57="","",IF(INDEX(Log!$AI:$AI,$M57)="","",INDEX(Log!$AI:$AI,$M57)))</f>
        <v/>
      </c>
      <c r="L57" s="68" t="str">
        <f aca="false">IF($M57="","",IF(INDEX(Log!$AJ:$AJ,$M57)="","",INDEX(Log!$AJ:$AJ,$M57)))</f>
        <v/>
      </c>
      <c r="M57" s="68" t="str">
        <f aca="false">IFERROR(SMALL(Log!$AM$6:$AM$305,52),"")</f>
        <v/>
      </c>
    </row>
    <row r="58" customFormat="false" ht="30" hidden="false" customHeight="true" outlineLevel="0" collapsed="false">
      <c r="A58" s="64" t="str">
        <f aca="false">IF($M58="","",53)</f>
        <v/>
      </c>
      <c r="B58" s="65" t="str">
        <f aca="false">IF($M58="","",IF(INDEX(Log!$A:$A,$M58)="","",INDEX(Log!$A:$A,$M58)))</f>
        <v/>
      </c>
      <c r="C58" s="65" t="str">
        <f aca="false">IF($M58="","",IF(INDEX(Log!$B:$B,$M58)="","",INDEX(Log!$B:$B,$M58)))</f>
        <v/>
      </c>
      <c r="D58" s="66" t="str">
        <f aca="false">IF($M58="","",IF(INDEX(Log!$C:$C,$M58)="","",INDEX(Log!$C:$C,$M58)))</f>
        <v/>
      </c>
      <c r="E58" s="65" t="str">
        <f aca="false">IF($M58="","",IF(INDEX(Log!$K:$K,$M58)="","",INDEX(Log!$K:$K,$M58)))</f>
        <v/>
      </c>
      <c r="F58" s="65" t="str">
        <f aca="false">IF($M58="","",IF(INDEX(Log!$AD:$AD,$M58)="","",INDEX(Log!$AD:$AD,$M58)))</f>
        <v/>
      </c>
      <c r="G58" s="65" t="str">
        <f aca="false">IF($M58="","",IF(INDEX(Log!$AE:$AE,$M58)="","",INDEX(Log!$AE:$AE,$M58)))</f>
        <v/>
      </c>
      <c r="H58" s="65" t="str">
        <f aca="false">IF($M58="","",IF(INDEX(Log!$AF:$AF,$M58)="","",INDEX(Log!$AF:$AF,$M58)))</f>
        <v/>
      </c>
      <c r="I58" s="66" t="str">
        <f aca="false">IF($M58="","",IF(INDEX(Log!$AG:$AG,$M58)="","",INDEX(Log!$AG:$AG,$M58)))</f>
        <v/>
      </c>
      <c r="J58" s="65" t="str">
        <f aca="false">IF($M58="","",IF(INDEX(Log!$AH:$AH,$M58)="","",INDEX(Log!$AH:$AH,$M58)))</f>
        <v/>
      </c>
      <c r="K58" s="64" t="str">
        <f aca="false">IF($M58="","",IF(INDEX(Log!$AI:$AI,$M58)="","",INDEX(Log!$AI:$AI,$M58)))</f>
        <v/>
      </c>
      <c r="L58" s="65" t="str">
        <f aca="false">IF($M58="","",IF(INDEX(Log!$AJ:$AJ,$M58)="","",INDEX(Log!$AJ:$AJ,$M58)))</f>
        <v/>
      </c>
      <c r="M58" s="65" t="str">
        <f aca="false">IFERROR(SMALL(Log!$AM$6:$AM$305,53),"")</f>
        <v/>
      </c>
    </row>
    <row r="59" customFormat="false" ht="30" hidden="false" customHeight="true" outlineLevel="0" collapsed="false">
      <c r="A59" s="67" t="str">
        <f aca="false">IF($M59="","",54)</f>
        <v/>
      </c>
      <c r="B59" s="68" t="str">
        <f aca="false">IF($M59="","",IF(INDEX(Log!$A:$A,$M59)="","",INDEX(Log!$A:$A,$M59)))</f>
        <v/>
      </c>
      <c r="C59" s="68" t="str">
        <f aca="false">IF($M59="","",IF(INDEX(Log!$B:$B,$M59)="","",INDEX(Log!$B:$B,$M59)))</f>
        <v/>
      </c>
      <c r="D59" s="69" t="str">
        <f aca="false">IF($M59="","",IF(INDEX(Log!$C:$C,$M59)="","",INDEX(Log!$C:$C,$M59)))</f>
        <v/>
      </c>
      <c r="E59" s="68" t="str">
        <f aca="false">IF($M59="","",IF(INDEX(Log!$K:$K,$M59)="","",INDEX(Log!$K:$K,$M59)))</f>
        <v/>
      </c>
      <c r="F59" s="68" t="str">
        <f aca="false">IF($M59="","",IF(INDEX(Log!$AD:$AD,$M59)="","",INDEX(Log!$AD:$AD,$M59)))</f>
        <v/>
      </c>
      <c r="G59" s="68" t="str">
        <f aca="false">IF($M59="","",IF(INDEX(Log!$AE:$AE,$M59)="","",INDEX(Log!$AE:$AE,$M59)))</f>
        <v/>
      </c>
      <c r="H59" s="68" t="str">
        <f aca="false">IF($M59="","",IF(INDEX(Log!$AF:$AF,$M59)="","",INDEX(Log!$AF:$AF,$M59)))</f>
        <v/>
      </c>
      <c r="I59" s="69" t="str">
        <f aca="false">IF($M59="","",IF(INDEX(Log!$AG:$AG,$M59)="","",INDEX(Log!$AG:$AG,$M59)))</f>
        <v/>
      </c>
      <c r="J59" s="68" t="str">
        <f aca="false">IF($M59="","",IF(INDEX(Log!$AH:$AH,$M59)="","",INDEX(Log!$AH:$AH,$M59)))</f>
        <v/>
      </c>
      <c r="K59" s="67" t="str">
        <f aca="false">IF($M59="","",IF(INDEX(Log!$AI:$AI,$M59)="","",INDEX(Log!$AI:$AI,$M59)))</f>
        <v/>
      </c>
      <c r="L59" s="68" t="str">
        <f aca="false">IF($M59="","",IF(INDEX(Log!$AJ:$AJ,$M59)="","",INDEX(Log!$AJ:$AJ,$M59)))</f>
        <v/>
      </c>
      <c r="M59" s="68" t="str">
        <f aca="false">IFERROR(SMALL(Log!$AM$6:$AM$305,54),"")</f>
        <v/>
      </c>
    </row>
    <row r="60" customFormat="false" ht="30" hidden="false" customHeight="true" outlineLevel="0" collapsed="false">
      <c r="A60" s="64" t="str">
        <f aca="false">IF($M60="","",55)</f>
        <v/>
      </c>
      <c r="B60" s="65" t="str">
        <f aca="false">IF($M60="","",IF(INDEX(Log!$A:$A,$M60)="","",INDEX(Log!$A:$A,$M60)))</f>
        <v/>
      </c>
      <c r="C60" s="65" t="str">
        <f aca="false">IF($M60="","",IF(INDEX(Log!$B:$B,$M60)="","",INDEX(Log!$B:$B,$M60)))</f>
        <v/>
      </c>
      <c r="D60" s="66" t="str">
        <f aca="false">IF($M60="","",IF(INDEX(Log!$C:$C,$M60)="","",INDEX(Log!$C:$C,$M60)))</f>
        <v/>
      </c>
      <c r="E60" s="65" t="str">
        <f aca="false">IF($M60="","",IF(INDEX(Log!$K:$K,$M60)="","",INDEX(Log!$K:$K,$M60)))</f>
        <v/>
      </c>
      <c r="F60" s="65" t="str">
        <f aca="false">IF($M60="","",IF(INDEX(Log!$AD:$AD,$M60)="","",INDEX(Log!$AD:$AD,$M60)))</f>
        <v/>
      </c>
      <c r="G60" s="65" t="str">
        <f aca="false">IF($M60="","",IF(INDEX(Log!$AE:$AE,$M60)="","",INDEX(Log!$AE:$AE,$M60)))</f>
        <v/>
      </c>
      <c r="H60" s="65" t="str">
        <f aca="false">IF($M60="","",IF(INDEX(Log!$AF:$AF,$M60)="","",INDEX(Log!$AF:$AF,$M60)))</f>
        <v/>
      </c>
      <c r="I60" s="66" t="str">
        <f aca="false">IF($M60="","",IF(INDEX(Log!$AG:$AG,$M60)="","",INDEX(Log!$AG:$AG,$M60)))</f>
        <v/>
      </c>
      <c r="J60" s="65" t="str">
        <f aca="false">IF($M60="","",IF(INDEX(Log!$AH:$AH,$M60)="","",INDEX(Log!$AH:$AH,$M60)))</f>
        <v/>
      </c>
      <c r="K60" s="64" t="str">
        <f aca="false">IF($M60="","",IF(INDEX(Log!$AI:$AI,$M60)="","",INDEX(Log!$AI:$AI,$M60)))</f>
        <v/>
      </c>
      <c r="L60" s="65" t="str">
        <f aca="false">IF($M60="","",IF(INDEX(Log!$AJ:$AJ,$M60)="","",INDEX(Log!$AJ:$AJ,$M60)))</f>
        <v/>
      </c>
      <c r="M60" s="65" t="str">
        <f aca="false">IFERROR(SMALL(Log!$AM$6:$AM$305,55),"")</f>
        <v/>
      </c>
    </row>
    <row r="61" customFormat="false" ht="30" hidden="false" customHeight="true" outlineLevel="0" collapsed="false">
      <c r="A61" s="67" t="str">
        <f aca="false">IF($M61="","",56)</f>
        <v/>
      </c>
      <c r="B61" s="68" t="str">
        <f aca="false">IF($M61="","",IF(INDEX(Log!$A:$A,$M61)="","",INDEX(Log!$A:$A,$M61)))</f>
        <v/>
      </c>
      <c r="C61" s="68" t="str">
        <f aca="false">IF($M61="","",IF(INDEX(Log!$B:$B,$M61)="","",INDEX(Log!$B:$B,$M61)))</f>
        <v/>
      </c>
      <c r="D61" s="69" t="str">
        <f aca="false">IF($M61="","",IF(INDEX(Log!$C:$C,$M61)="","",INDEX(Log!$C:$C,$M61)))</f>
        <v/>
      </c>
      <c r="E61" s="68" t="str">
        <f aca="false">IF($M61="","",IF(INDEX(Log!$K:$K,$M61)="","",INDEX(Log!$K:$K,$M61)))</f>
        <v/>
      </c>
      <c r="F61" s="68" t="str">
        <f aca="false">IF($M61="","",IF(INDEX(Log!$AD:$AD,$M61)="","",INDEX(Log!$AD:$AD,$M61)))</f>
        <v/>
      </c>
      <c r="G61" s="68" t="str">
        <f aca="false">IF($M61="","",IF(INDEX(Log!$AE:$AE,$M61)="","",INDEX(Log!$AE:$AE,$M61)))</f>
        <v/>
      </c>
      <c r="H61" s="68" t="str">
        <f aca="false">IF($M61="","",IF(INDEX(Log!$AF:$AF,$M61)="","",INDEX(Log!$AF:$AF,$M61)))</f>
        <v/>
      </c>
      <c r="I61" s="69" t="str">
        <f aca="false">IF($M61="","",IF(INDEX(Log!$AG:$AG,$M61)="","",INDEX(Log!$AG:$AG,$M61)))</f>
        <v/>
      </c>
      <c r="J61" s="68" t="str">
        <f aca="false">IF($M61="","",IF(INDEX(Log!$AH:$AH,$M61)="","",INDEX(Log!$AH:$AH,$M61)))</f>
        <v/>
      </c>
      <c r="K61" s="67" t="str">
        <f aca="false">IF($M61="","",IF(INDEX(Log!$AI:$AI,$M61)="","",INDEX(Log!$AI:$AI,$M61)))</f>
        <v/>
      </c>
      <c r="L61" s="68" t="str">
        <f aca="false">IF($M61="","",IF(INDEX(Log!$AJ:$AJ,$M61)="","",INDEX(Log!$AJ:$AJ,$M61)))</f>
        <v/>
      </c>
      <c r="M61" s="68" t="str">
        <f aca="false">IFERROR(SMALL(Log!$AM$6:$AM$305,56),"")</f>
        <v/>
      </c>
    </row>
    <row r="62" customFormat="false" ht="30" hidden="false" customHeight="true" outlineLevel="0" collapsed="false">
      <c r="A62" s="64" t="str">
        <f aca="false">IF($M62="","",57)</f>
        <v/>
      </c>
      <c r="B62" s="65" t="str">
        <f aca="false">IF($M62="","",IF(INDEX(Log!$A:$A,$M62)="","",INDEX(Log!$A:$A,$M62)))</f>
        <v/>
      </c>
      <c r="C62" s="65" t="str">
        <f aca="false">IF($M62="","",IF(INDEX(Log!$B:$B,$M62)="","",INDEX(Log!$B:$B,$M62)))</f>
        <v/>
      </c>
      <c r="D62" s="66" t="str">
        <f aca="false">IF($M62="","",IF(INDEX(Log!$C:$C,$M62)="","",INDEX(Log!$C:$C,$M62)))</f>
        <v/>
      </c>
      <c r="E62" s="65" t="str">
        <f aca="false">IF($M62="","",IF(INDEX(Log!$K:$K,$M62)="","",INDEX(Log!$K:$K,$M62)))</f>
        <v/>
      </c>
      <c r="F62" s="65" t="str">
        <f aca="false">IF($M62="","",IF(INDEX(Log!$AD:$AD,$M62)="","",INDEX(Log!$AD:$AD,$M62)))</f>
        <v/>
      </c>
      <c r="G62" s="65" t="str">
        <f aca="false">IF($M62="","",IF(INDEX(Log!$AE:$AE,$M62)="","",INDEX(Log!$AE:$AE,$M62)))</f>
        <v/>
      </c>
      <c r="H62" s="65" t="str">
        <f aca="false">IF($M62="","",IF(INDEX(Log!$AF:$AF,$M62)="","",INDEX(Log!$AF:$AF,$M62)))</f>
        <v/>
      </c>
      <c r="I62" s="66" t="str">
        <f aca="false">IF($M62="","",IF(INDEX(Log!$AG:$AG,$M62)="","",INDEX(Log!$AG:$AG,$M62)))</f>
        <v/>
      </c>
      <c r="J62" s="65" t="str">
        <f aca="false">IF($M62="","",IF(INDEX(Log!$AH:$AH,$M62)="","",INDEX(Log!$AH:$AH,$M62)))</f>
        <v/>
      </c>
      <c r="K62" s="64" t="str">
        <f aca="false">IF($M62="","",IF(INDEX(Log!$AI:$AI,$M62)="","",INDEX(Log!$AI:$AI,$M62)))</f>
        <v/>
      </c>
      <c r="L62" s="65" t="str">
        <f aca="false">IF($M62="","",IF(INDEX(Log!$AJ:$AJ,$M62)="","",INDEX(Log!$AJ:$AJ,$M62)))</f>
        <v/>
      </c>
      <c r="M62" s="65" t="str">
        <f aca="false">IFERROR(SMALL(Log!$AM$6:$AM$305,57),"")</f>
        <v/>
      </c>
    </row>
    <row r="63" customFormat="false" ht="30" hidden="false" customHeight="true" outlineLevel="0" collapsed="false">
      <c r="A63" s="67" t="str">
        <f aca="false">IF($M63="","",58)</f>
        <v/>
      </c>
      <c r="B63" s="68" t="str">
        <f aca="false">IF($M63="","",IF(INDEX(Log!$A:$A,$M63)="","",INDEX(Log!$A:$A,$M63)))</f>
        <v/>
      </c>
      <c r="C63" s="68" t="str">
        <f aca="false">IF($M63="","",IF(INDEX(Log!$B:$B,$M63)="","",INDEX(Log!$B:$B,$M63)))</f>
        <v/>
      </c>
      <c r="D63" s="69" t="str">
        <f aca="false">IF($M63="","",IF(INDEX(Log!$C:$C,$M63)="","",INDEX(Log!$C:$C,$M63)))</f>
        <v/>
      </c>
      <c r="E63" s="68" t="str">
        <f aca="false">IF($M63="","",IF(INDEX(Log!$K:$K,$M63)="","",INDEX(Log!$K:$K,$M63)))</f>
        <v/>
      </c>
      <c r="F63" s="68" t="str">
        <f aca="false">IF($M63="","",IF(INDEX(Log!$AD:$AD,$M63)="","",INDEX(Log!$AD:$AD,$M63)))</f>
        <v/>
      </c>
      <c r="G63" s="68" t="str">
        <f aca="false">IF($M63="","",IF(INDEX(Log!$AE:$AE,$M63)="","",INDEX(Log!$AE:$AE,$M63)))</f>
        <v/>
      </c>
      <c r="H63" s="68" t="str">
        <f aca="false">IF($M63="","",IF(INDEX(Log!$AF:$AF,$M63)="","",INDEX(Log!$AF:$AF,$M63)))</f>
        <v/>
      </c>
      <c r="I63" s="69" t="str">
        <f aca="false">IF($M63="","",IF(INDEX(Log!$AG:$AG,$M63)="","",INDEX(Log!$AG:$AG,$M63)))</f>
        <v/>
      </c>
      <c r="J63" s="68" t="str">
        <f aca="false">IF($M63="","",IF(INDEX(Log!$AH:$AH,$M63)="","",INDEX(Log!$AH:$AH,$M63)))</f>
        <v/>
      </c>
      <c r="K63" s="67" t="str">
        <f aca="false">IF($M63="","",IF(INDEX(Log!$AI:$AI,$M63)="","",INDEX(Log!$AI:$AI,$M63)))</f>
        <v/>
      </c>
      <c r="L63" s="68" t="str">
        <f aca="false">IF($M63="","",IF(INDEX(Log!$AJ:$AJ,$M63)="","",INDEX(Log!$AJ:$AJ,$M63)))</f>
        <v/>
      </c>
      <c r="M63" s="68" t="str">
        <f aca="false">IFERROR(SMALL(Log!$AM$6:$AM$305,58),"")</f>
        <v/>
      </c>
    </row>
    <row r="64" customFormat="false" ht="30" hidden="false" customHeight="true" outlineLevel="0" collapsed="false">
      <c r="A64" s="64" t="str">
        <f aca="false">IF($M64="","",59)</f>
        <v/>
      </c>
      <c r="B64" s="65" t="str">
        <f aca="false">IF($M64="","",IF(INDEX(Log!$A:$A,$M64)="","",INDEX(Log!$A:$A,$M64)))</f>
        <v/>
      </c>
      <c r="C64" s="65" t="str">
        <f aca="false">IF($M64="","",IF(INDEX(Log!$B:$B,$M64)="","",INDEX(Log!$B:$B,$M64)))</f>
        <v/>
      </c>
      <c r="D64" s="66" t="str">
        <f aca="false">IF($M64="","",IF(INDEX(Log!$C:$C,$M64)="","",INDEX(Log!$C:$C,$M64)))</f>
        <v/>
      </c>
      <c r="E64" s="65" t="str">
        <f aca="false">IF($M64="","",IF(INDEX(Log!$K:$K,$M64)="","",INDEX(Log!$K:$K,$M64)))</f>
        <v/>
      </c>
      <c r="F64" s="65" t="str">
        <f aca="false">IF($M64="","",IF(INDEX(Log!$AD:$AD,$M64)="","",INDEX(Log!$AD:$AD,$M64)))</f>
        <v/>
      </c>
      <c r="G64" s="65" t="str">
        <f aca="false">IF($M64="","",IF(INDEX(Log!$AE:$AE,$M64)="","",INDEX(Log!$AE:$AE,$M64)))</f>
        <v/>
      </c>
      <c r="H64" s="65" t="str">
        <f aca="false">IF($M64="","",IF(INDEX(Log!$AF:$AF,$M64)="","",INDEX(Log!$AF:$AF,$M64)))</f>
        <v/>
      </c>
      <c r="I64" s="66" t="str">
        <f aca="false">IF($M64="","",IF(INDEX(Log!$AG:$AG,$M64)="","",INDEX(Log!$AG:$AG,$M64)))</f>
        <v/>
      </c>
      <c r="J64" s="65" t="str">
        <f aca="false">IF($M64="","",IF(INDEX(Log!$AH:$AH,$M64)="","",INDEX(Log!$AH:$AH,$M64)))</f>
        <v/>
      </c>
      <c r="K64" s="64" t="str">
        <f aca="false">IF($M64="","",IF(INDEX(Log!$AI:$AI,$M64)="","",INDEX(Log!$AI:$AI,$M64)))</f>
        <v/>
      </c>
      <c r="L64" s="65" t="str">
        <f aca="false">IF($M64="","",IF(INDEX(Log!$AJ:$AJ,$M64)="","",INDEX(Log!$AJ:$AJ,$M64)))</f>
        <v/>
      </c>
      <c r="M64" s="65" t="str">
        <f aca="false">IFERROR(SMALL(Log!$AM$6:$AM$305,59),"")</f>
        <v/>
      </c>
    </row>
    <row r="65" customFormat="false" ht="30" hidden="false" customHeight="true" outlineLevel="0" collapsed="false">
      <c r="A65" s="67" t="str">
        <f aca="false">IF($M65="","",60)</f>
        <v/>
      </c>
      <c r="B65" s="68" t="str">
        <f aca="false">IF($M65="","",IF(INDEX(Log!$A:$A,$M65)="","",INDEX(Log!$A:$A,$M65)))</f>
        <v/>
      </c>
      <c r="C65" s="68" t="str">
        <f aca="false">IF($M65="","",IF(INDEX(Log!$B:$B,$M65)="","",INDEX(Log!$B:$B,$M65)))</f>
        <v/>
      </c>
      <c r="D65" s="69" t="str">
        <f aca="false">IF($M65="","",IF(INDEX(Log!$C:$C,$M65)="","",INDEX(Log!$C:$C,$M65)))</f>
        <v/>
      </c>
      <c r="E65" s="68" t="str">
        <f aca="false">IF($M65="","",IF(INDEX(Log!$K:$K,$M65)="","",INDEX(Log!$K:$K,$M65)))</f>
        <v/>
      </c>
      <c r="F65" s="68" t="str">
        <f aca="false">IF($M65="","",IF(INDEX(Log!$AD:$AD,$M65)="","",INDEX(Log!$AD:$AD,$M65)))</f>
        <v/>
      </c>
      <c r="G65" s="68" t="str">
        <f aca="false">IF($M65="","",IF(INDEX(Log!$AE:$AE,$M65)="","",INDEX(Log!$AE:$AE,$M65)))</f>
        <v/>
      </c>
      <c r="H65" s="68" t="str">
        <f aca="false">IF($M65="","",IF(INDEX(Log!$AF:$AF,$M65)="","",INDEX(Log!$AF:$AF,$M65)))</f>
        <v/>
      </c>
      <c r="I65" s="69" t="str">
        <f aca="false">IF($M65="","",IF(INDEX(Log!$AG:$AG,$M65)="","",INDEX(Log!$AG:$AG,$M65)))</f>
        <v/>
      </c>
      <c r="J65" s="68" t="str">
        <f aca="false">IF($M65="","",IF(INDEX(Log!$AH:$AH,$M65)="","",INDEX(Log!$AH:$AH,$M65)))</f>
        <v/>
      </c>
      <c r="K65" s="67" t="str">
        <f aca="false">IF($M65="","",IF(INDEX(Log!$AI:$AI,$M65)="","",INDEX(Log!$AI:$AI,$M65)))</f>
        <v/>
      </c>
      <c r="L65" s="68" t="str">
        <f aca="false">IF($M65="","",IF(INDEX(Log!$AJ:$AJ,$M65)="","",INDEX(Log!$AJ:$AJ,$M65)))</f>
        <v/>
      </c>
      <c r="M65" s="68" t="str">
        <f aca="false">IFERROR(SMALL(Log!$AM$6:$AM$305,60),"")</f>
        <v/>
      </c>
    </row>
    <row r="66" customFormat="false" ht="30" hidden="false" customHeight="true" outlineLevel="0" collapsed="false">
      <c r="A66" s="64" t="str">
        <f aca="false">IF($M66="","",61)</f>
        <v/>
      </c>
      <c r="B66" s="65" t="str">
        <f aca="false">IF($M66="","",IF(INDEX(Log!$A:$A,$M66)="","",INDEX(Log!$A:$A,$M66)))</f>
        <v/>
      </c>
      <c r="C66" s="65" t="str">
        <f aca="false">IF($M66="","",IF(INDEX(Log!$B:$B,$M66)="","",INDEX(Log!$B:$B,$M66)))</f>
        <v/>
      </c>
      <c r="D66" s="66" t="str">
        <f aca="false">IF($M66="","",IF(INDEX(Log!$C:$C,$M66)="","",INDEX(Log!$C:$C,$M66)))</f>
        <v/>
      </c>
      <c r="E66" s="65" t="str">
        <f aca="false">IF($M66="","",IF(INDEX(Log!$K:$K,$M66)="","",INDEX(Log!$K:$K,$M66)))</f>
        <v/>
      </c>
      <c r="F66" s="65" t="str">
        <f aca="false">IF($M66="","",IF(INDEX(Log!$AD:$AD,$M66)="","",INDEX(Log!$AD:$AD,$M66)))</f>
        <v/>
      </c>
      <c r="G66" s="65" t="str">
        <f aca="false">IF($M66="","",IF(INDEX(Log!$AE:$AE,$M66)="","",INDEX(Log!$AE:$AE,$M66)))</f>
        <v/>
      </c>
      <c r="H66" s="65" t="str">
        <f aca="false">IF($M66="","",IF(INDEX(Log!$AF:$AF,$M66)="","",INDEX(Log!$AF:$AF,$M66)))</f>
        <v/>
      </c>
      <c r="I66" s="66" t="str">
        <f aca="false">IF($M66="","",IF(INDEX(Log!$AG:$AG,$M66)="","",INDEX(Log!$AG:$AG,$M66)))</f>
        <v/>
      </c>
      <c r="J66" s="65" t="str">
        <f aca="false">IF($M66="","",IF(INDEX(Log!$AH:$AH,$M66)="","",INDEX(Log!$AH:$AH,$M66)))</f>
        <v/>
      </c>
      <c r="K66" s="64" t="str">
        <f aca="false">IF($M66="","",IF(INDEX(Log!$AI:$AI,$M66)="","",INDEX(Log!$AI:$AI,$M66)))</f>
        <v/>
      </c>
      <c r="L66" s="65" t="str">
        <f aca="false">IF($M66="","",IF(INDEX(Log!$AJ:$AJ,$M66)="","",INDEX(Log!$AJ:$AJ,$M66)))</f>
        <v/>
      </c>
      <c r="M66" s="65" t="str">
        <f aca="false">IFERROR(SMALL(Log!$AM$6:$AM$305,61),"")</f>
        <v/>
      </c>
    </row>
    <row r="67" customFormat="false" ht="30" hidden="false" customHeight="true" outlineLevel="0" collapsed="false">
      <c r="A67" s="67" t="str">
        <f aca="false">IF($M67="","",62)</f>
        <v/>
      </c>
      <c r="B67" s="68" t="str">
        <f aca="false">IF($M67="","",IF(INDEX(Log!$A:$A,$M67)="","",INDEX(Log!$A:$A,$M67)))</f>
        <v/>
      </c>
      <c r="C67" s="68" t="str">
        <f aca="false">IF($M67="","",IF(INDEX(Log!$B:$B,$M67)="","",INDEX(Log!$B:$B,$M67)))</f>
        <v/>
      </c>
      <c r="D67" s="69" t="str">
        <f aca="false">IF($M67="","",IF(INDEX(Log!$C:$C,$M67)="","",INDEX(Log!$C:$C,$M67)))</f>
        <v/>
      </c>
      <c r="E67" s="68" t="str">
        <f aca="false">IF($M67="","",IF(INDEX(Log!$K:$K,$M67)="","",INDEX(Log!$K:$K,$M67)))</f>
        <v/>
      </c>
      <c r="F67" s="68" t="str">
        <f aca="false">IF($M67="","",IF(INDEX(Log!$AD:$AD,$M67)="","",INDEX(Log!$AD:$AD,$M67)))</f>
        <v/>
      </c>
      <c r="G67" s="68" t="str">
        <f aca="false">IF($M67="","",IF(INDEX(Log!$AE:$AE,$M67)="","",INDEX(Log!$AE:$AE,$M67)))</f>
        <v/>
      </c>
      <c r="H67" s="68" t="str">
        <f aca="false">IF($M67="","",IF(INDEX(Log!$AF:$AF,$M67)="","",INDEX(Log!$AF:$AF,$M67)))</f>
        <v/>
      </c>
      <c r="I67" s="69" t="str">
        <f aca="false">IF($M67="","",IF(INDEX(Log!$AG:$AG,$M67)="","",INDEX(Log!$AG:$AG,$M67)))</f>
        <v/>
      </c>
      <c r="J67" s="68" t="str">
        <f aca="false">IF($M67="","",IF(INDEX(Log!$AH:$AH,$M67)="","",INDEX(Log!$AH:$AH,$M67)))</f>
        <v/>
      </c>
      <c r="K67" s="67" t="str">
        <f aca="false">IF($M67="","",IF(INDEX(Log!$AI:$AI,$M67)="","",INDEX(Log!$AI:$AI,$M67)))</f>
        <v/>
      </c>
      <c r="L67" s="68" t="str">
        <f aca="false">IF($M67="","",IF(INDEX(Log!$AJ:$AJ,$M67)="","",INDEX(Log!$AJ:$AJ,$M67)))</f>
        <v/>
      </c>
      <c r="M67" s="68" t="str">
        <f aca="false">IFERROR(SMALL(Log!$AM$6:$AM$305,62),"")</f>
        <v/>
      </c>
    </row>
    <row r="68" customFormat="false" ht="30" hidden="false" customHeight="true" outlineLevel="0" collapsed="false">
      <c r="A68" s="64" t="str">
        <f aca="false">IF($M68="","",63)</f>
        <v/>
      </c>
      <c r="B68" s="65" t="str">
        <f aca="false">IF($M68="","",IF(INDEX(Log!$A:$A,$M68)="","",INDEX(Log!$A:$A,$M68)))</f>
        <v/>
      </c>
      <c r="C68" s="65" t="str">
        <f aca="false">IF($M68="","",IF(INDEX(Log!$B:$B,$M68)="","",INDEX(Log!$B:$B,$M68)))</f>
        <v/>
      </c>
      <c r="D68" s="66" t="str">
        <f aca="false">IF($M68="","",IF(INDEX(Log!$C:$C,$M68)="","",INDEX(Log!$C:$C,$M68)))</f>
        <v/>
      </c>
      <c r="E68" s="65" t="str">
        <f aca="false">IF($M68="","",IF(INDEX(Log!$K:$K,$M68)="","",INDEX(Log!$K:$K,$M68)))</f>
        <v/>
      </c>
      <c r="F68" s="65" t="str">
        <f aca="false">IF($M68="","",IF(INDEX(Log!$AD:$AD,$M68)="","",INDEX(Log!$AD:$AD,$M68)))</f>
        <v/>
      </c>
      <c r="G68" s="65" t="str">
        <f aca="false">IF($M68="","",IF(INDEX(Log!$AE:$AE,$M68)="","",INDEX(Log!$AE:$AE,$M68)))</f>
        <v/>
      </c>
      <c r="H68" s="65" t="str">
        <f aca="false">IF($M68="","",IF(INDEX(Log!$AF:$AF,$M68)="","",INDEX(Log!$AF:$AF,$M68)))</f>
        <v/>
      </c>
      <c r="I68" s="66" t="str">
        <f aca="false">IF($M68="","",IF(INDEX(Log!$AG:$AG,$M68)="","",INDEX(Log!$AG:$AG,$M68)))</f>
        <v/>
      </c>
      <c r="J68" s="65" t="str">
        <f aca="false">IF($M68="","",IF(INDEX(Log!$AH:$AH,$M68)="","",INDEX(Log!$AH:$AH,$M68)))</f>
        <v/>
      </c>
      <c r="K68" s="64" t="str">
        <f aca="false">IF($M68="","",IF(INDEX(Log!$AI:$AI,$M68)="","",INDEX(Log!$AI:$AI,$M68)))</f>
        <v/>
      </c>
      <c r="L68" s="65" t="str">
        <f aca="false">IF($M68="","",IF(INDEX(Log!$AJ:$AJ,$M68)="","",INDEX(Log!$AJ:$AJ,$M68)))</f>
        <v/>
      </c>
      <c r="M68" s="65" t="str">
        <f aca="false">IFERROR(SMALL(Log!$AM$6:$AM$305,63),"")</f>
        <v/>
      </c>
    </row>
    <row r="69" customFormat="false" ht="30" hidden="false" customHeight="true" outlineLevel="0" collapsed="false">
      <c r="A69" s="67" t="str">
        <f aca="false">IF($M69="","",64)</f>
        <v/>
      </c>
      <c r="B69" s="68" t="str">
        <f aca="false">IF($M69="","",IF(INDEX(Log!$A:$A,$M69)="","",INDEX(Log!$A:$A,$M69)))</f>
        <v/>
      </c>
      <c r="C69" s="68" t="str">
        <f aca="false">IF($M69="","",IF(INDEX(Log!$B:$B,$M69)="","",INDEX(Log!$B:$B,$M69)))</f>
        <v/>
      </c>
      <c r="D69" s="69" t="str">
        <f aca="false">IF($M69="","",IF(INDEX(Log!$C:$C,$M69)="","",INDEX(Log!$C:$C,$M69)))</f>
        <v/>
      </c>
      <c r="E69" s="68" t="str">
        <f aca="false">IF($M69="","",IF(INDEX(Log!$K:$K,$M69)="","",INDEX(Log!$K:$K,$M69)))</f>
        <v/>
      </c>
      <c r="F69" s="68" t="str">
        <f aca="false">IF($M69="","",IF(INDEX(Log!$AD:$AD,$M69)="","",INDEX(Log!$AD:$AD,$M69)))</f>
        <v/>
      </c>
      <c r="G69" s="68" t="str">
        <f aca="false">IF($M69="","",IF(INDEX(Log!$AE:$AE,$M69)="","",INDEX(Log!$AE:$AE,$M69)))</f>
        <v/>
      </c>
      <c r="H69" s="68" t="str">
        <f aca="false">IF($M69="","",IF(INDEX(Log!$AF:$AF,$M69)="","",INDEX(Log!$AF:$AF,$M69)))</f>
        <v/>
      </c>
      <c r="I69" s="69" t="str">
        <f aca="false">IF($M69="","",IF(INDEX(Log!$AG:$AG,$M69)="","",INDEX(Log!$AG:$AG,$M69)))</f>
        <v/>
      </c>
      <c r="J69" s="68" t="str">
        <f aca="false">IF($M69="","",IF(INDEX(Log!$AH:$AH,$M69)="","",INDEX(Log!$AH:$AH,$M69)))</f>
        <v/>
      </c>
      <c r="K69" s="67" t="str">
        <f aca="false">IF($M69="","",IF(INDEX(Log!$AI:$AI,$M69)="","",INDEX(Log!$AI:$AI,$M69)))</f>
        <v/>
      </c>
      <c r="L69" s="68" t="str">
        <f aca="false">IF($M69="","",IF(INDEX(Log!$AJ:$AJ,$M69)="","",INDEX(Log!$AJ:$AJ,$M69)))</f>
        <v/>
      </c>
      <c r="M69" s="68" t="str">
        <f aca="false">IFERROR(SMALL(Log!$AM$6:$AM$305,64),"")</f>
        <v/>
      </c>
    </row>
    <row r="70" customFormat="false" ht="30" hidden="false" customHeight="true" outlineLevel="0" collapsed="false">
      <c r="A70" s="64" t="str">
        <f aca="false">IF($M70="","",65)</f>
        <v/>
      </c>
      <c r="B70" s="65" t="str">
        <f aca="false">IF($M70="","",IF(INDEX(Log!$A:$A,$M70)="","",INDEX(Log!$A:$A,$M70)))</f>
        <v/>
      </c>
      <c r="C70" s="65" t="str">
        <f aca="false">IF($M70="","",IF(INDEX(Log!$B:$B,$M70)="","",INDEX(Log!$B:$B,$M70)))</f>
        <v/>
      </c>
      <c r="D70" s="66" t="str">
        <f aca="false">IF($M70="","",IF(INDEX(Log!$C:$C,$M70)="","",INDEX(Log!$C:$C,$M70)))</f>
        <v/>
      </c>
      <c r="E70" s="65" t="str">
        <f aca="false">IF($M70="","",IF(INDEX(Log!$K:$K,$M70)="","",INDEX(Log!$K:$K,$M70)))</f>
        <v/>
      </c>
      <c r="F70" s="65" t="str">
        <f aca="false">IF($M70="","",IF(INDEX(Log!$AD:$AD,$M70)="","",INDEX(Log!$AD:$AD,$M70)))</f>
        <v/>
      </c>
      <c r="G70" s="65" t="str">
        <f aca="false">IF($M70="","",IF(INDEX(Log!$AE:$AE,$M70)="","",INDEX(Log!$AE:$AE,$M70)))</f>
        <v/>
      </c>
      <c r="H70" s="65" t="str">
        <f aca="false">IF($M70="","",IF(INDEX(Log!$AF:$AF,$M70)="","",INDEX(Log!$AF:$AF,$M70)))</f>
        <v/>
      </c>
      <c r="I70" s="66" t="str">
        <f aca="false">IF($M70="","",IF(INDEX(Log!$AG:$AG,$M70)="","",INDEX(Log!$AG:$AG,$M70)))</f>
        <v/>
      </c>
      <c r="J70" s="65" t="str">
        <f aca="false">IF($M70="","",IF(INDEX(Log!$AH:$AH,$M70)="","",INDEX(Log!$AH:$AH,$M70)))</f>
        <v/>
      </c>
      <c r="K70" s="64" t="str">
        <f aca="false">IF($M70="","",IF(INDEX(Log!$AI:$AI,$M70)="","",INDEX(Log!$AI:$AI,$M70)))</f>
        <v/>
      </c>
      <c r="L70" s="65" t="str">
        <f aca="false">IF($M70="","",IF(INDEX(Log!$AJ:$AJ,$M70)="","",INDEX(Log!$AJ:$AJ,$M70)))</f>
        <v/>
      </c>
      <c r="M70" s="65" t="str">
        <f aca="false">IFERROR(SMALL(Log!$AM$6:$AM$305,65),"")</f>
        <v/>
      </c>
    </row>
    <row r="71" customFormat="false" ht="30" hidden="false" customHeight="true" outlineLevel="0" collapsed="false">
      <c r="A71" s="67" t="str">
        <f aca="false">IF($M71="","",66)</f>
        <v/>
      </c>
      <c r="B71" s="68" t="str">
        <f aca="false">IF($M71="","",IF(INDEX(Log!$A:$A,$M71)="","",INDEX(Log!$A:$A,$M71)))</f>
        <v/>
      </c>
      <c r="C71" s="68" t="str">
        <f aca="false">IF($M71="","",IF(INDEX(Log!$B:$B,$M71)="","",INDEX(Log!$B:$B,$M71)))</f>
        <v/>
      </c>
      <c r="D71" s="69" t="str">
        <f aca="false">IF($M71="","",IF(INDEX(Log!$C:$C,$M71)="","",INDEX(Log!$C:$C,$M71)))</f>
        <v/>
      </c>
      <c r="E71" s="68" t="str">
        <f aca="false">IF($M71="","",IF(INDEX(Log!$K:$K,$M71)="","",INDEX(Log!$K:$K,$M71)))</f>
        <v/>
      </c>
      <c r="F71" s="68" t="str">
        <f aca="false">IF($M71="","",IF(INDEX(Log!$AD:$AD,$M71)="","",INDEX(Log!$AD:$AD,$M71)))</f>
        <v/>
      </c>
      <c r="G71" s="68" t="str">
        <f aca="false">IF($M71="","",IF(INDEX(Log!$AE:$AE,$M71)="","",INDEX(Log!$AE:$AE,$M71)))</f>
        <v/>
      </c>
      <c r="H71" s="68" t="str">
        <f aca="false">IF($M71="","",IF(INDEX(Log!$AF:$AF,$M71)="","",INDEX(Log!$AF:$AF,$M71)))</f>
        <v/>
      </c>
      <c r="I71" s="69" t="str">
        <f aca="false">IF($M71="","",IF(INDEX(Log!$AG:$AG,$M71)="","",INDEX(Log!$AG:$AG,$M71)))</f>
        <v/>
      </c>
      <c r="J71" s="68" t="str">
        <f aca="false">IF($M71="","",IF(INDEX(Log!$AH:$AH,$M71)="","",INDEX(Log!$AH:$AH,$M71)))</f>
        <v/>
      </c>
      <c r="K71" s="67" t="str">
        <f aca="false">IF($M71="","",IF(INDEX(Log!$AI:$AI,$M71)="","",INDEX(Log!$AI:$AI,$M71)))</f>
        <v/>
      </c>
      <c r="L71" s="68" t="str">
        <f aca="false">IF($M71="","",IF(INDEX(Log!$AJ:$AJ,$M71)="","",INDEX(Log!$AJ:$AJ,$M71)))</f>
        <v/>
      </c>
      <c r="M71" s="68" t="str">
        <f aca="false">IFERROR(SMALL(Log!$AM$6:$AM$305,66),"")</f>
        <v/>
      </c>
    </row>
    <row r="72" customFormat="false" ht="30" hidden="false" customHeight="true" outlineLevel="0" collapsed="false">
      <c r="A72" s="64" t="str">
        <f aca="false">IF($M72="","",67)</f>
        <v/>
      </c>
      <c r="B72" s="65" t="str">
        <f aca="false">IF($M72="","",IF(INDEX(Log!$A:$A,$M72)="","",INDEX(Log!$A:$A,$M72)))</f>
        <v/>
      </c>
      <c r="C72" s="65" t="str">
        <f aca="false">IF($M72="","",IF(INDEX(Log!$B:$B,$M72)="","",INDEX(Log!$B:$B,$M72)))</f>
        <v/>
      </c>
      <c r="D72" s="66" t="str">
        <f aca="false">IF($M72="","",IF(INDEX(Log!$C:$C,$M72)="","",INDEX(Log!$C:$C,$M72)))</f>
        <v/>
      </c>
      <c r="E72" s="65" t="str">
        <f aca="false">IF($M72="","",IF(INDEX(Log!$K:$K,$M72)="","",INDEX(Log!$K:$K,$M72)))</f>
        <v/>
      </c>
      <c r="F72" s="65" t="str">
        <f aca="false">IF($M72="","",IF(INDEX(Log!$AD:$AD,$M72)="","",INDEX(Log!$AD:$AD,$M72)))</f>
        <v/>
      </c>
      <c r="G72" s="65" t="str">
        <f aca="false">IF($M72="","",IF(INDEX(Log!$AE:$AE,$M72)="","",INDEX(Log!$AE:$AE,$M72)))</f>
        <v/>
      </c>
      <c r="H72" s="65" t="str">
        <f aca="false">IF($M72="","",IF(INDEX(Log!$AF:$AF,$M72)="","",INDEX(Log!$AF:$AF,$M72)))</f>
        <v/>
      </c>
      <c r="I72" s="66" t="str">
        <f aca="false">IF($M72="","",IF(INDEX(Log!$AG:$AG,$M72)="","",INDEX(Log!$AG:$AG,$M72)))</f>
        <v/>
      </c>
      <c r="J72" s="65" t="str">
        <f aca="false">IF($M72="","",IF(INDEX(Log!$AH:$AH,$M72)="","",INDEX(Log!$AH:$AH,$M72)))</f>
        <v/>
      </c>
      <c r="K72" s="64" t="str">
        <f aca="false">IF($M72="","",IF(INDEX(Log!$AI:$AI,$M72)="","",INDEX(Log!$AI:$AI,$M72)))</f>
        <v/>
      </c>
      <c r="L72" s="65" t="str">
        <f aca="false">IF($M72="","",IF(INDEX(Log!$AJ:$AJ,$M72)="","",INDEX(Log!$AJ:$AJ,$M72)))</f>
        <v/>
      </c>
      <c r="M72" s="65" t="str">
        <f aca="false">IFERROR(SMALL(Log!$AM$6:$AM$305,67),"")</f>
        <v/>
      </c>
    </row>
    <row r="73" customFormat="false" ht="30" hidden="false" customHeight="true" outlineLevel="0" collapsed="false">
      <c r="A73" s="67" t="str">
        <f aca="false">IF($M73="","",68)</f>
        <v/>
      </c>
      <c r="B73" s="68" t="str">
        <f aca="false">IF($M73="","",IF(INDEX(Log!$A:$A,$M73)="","",INDEX(Log!$A:$A,$M73)))</f>
        <v/>
      </c>
      <c r="C73" s="68" t="str">
        <f aca="false">IF($M73="","",IF(INDEX(Log!$B:$B,$M73)="","",INDEX(Log!$B:$B,$M73)))</f>
        <v/>
      </c>
      <c r="D73" s="69" t="str">
        <f aca="false">IF($M73="","",IF(INDEX(Log!$C:$C,$M73)="","",INDEX(Log!$C:$C,$M73)))</f>
        <v/>
      </c>
      <c r="E73" s="68" t="str">
        <f aca="false">IF($M73="","",IF(INDEX(Log!$K:$K,$M73)="","",INDEX(Log!$K:$K,$M73)))</f>
        <v/>
      </c>
      <c r="F73" s="68" t="str">
        <f aca="false">IF($M73="","",IF(INDEX(Log!$AD:$AD,$M73)="","",INDEX(Log!$AD:$AD,$M73)))</f>
        <v/>
      </c>
      <c r="G73" s="68" t="str">
        <f aca="false">IF($M73="","",IF(INDEX(Log!$AE:$AE,$M73)="","",INDEX(Log!$AE:$AE,$M73)))</f>
        <v/>
      </c>
      <c r="H73" s="68" t="str">
        <f aca="false">IF($M73="","",IF(INDEX(Log!$AF:$AF,$M73)="","",INDEX(Log!$AF:$AF,$M73)))</f>
        <v/>
      </c>
      <c r="I73" s="69" t="str">
        <f aca="false">IF($M73="","",IF(INDEX(Log!$AG:$AG,$M73)="","",INDEX(Log!$AG:$AG,$M73)))</f>
        <v/>
      </c>
      <c r="J73" s="68" t="str">
        <f aca="false">IF($M73="","",IF(INDEX(Log!$AH:$AH,$M73)="","",INDEX(Log!$AH:$AH,$M73)))</f>
        <v/>
      </c>
      <c r="K73" s="67" t="str">
        <f aca="false">IF($M73="","",IF(INDEX(Log!$AI:$AI,$M73)="","",INDEX(Log!$AI:$AI,$M73)))</f>
        <v/>
      </c>
      <c r="L73" s="68" t="str">
        <f aca="false">IF($M73="","",IF(INDEX(Log!$AJ:$AJ,$M73)="","",INDEX(Log!$AJ:$AJ,$M73)))</f>
        <v/>
      </c>
      <c r="M73" s="68" t="str">
        <f aca="false">IFERROR(SMALL(Log!$AM$6:$AM$305,68),"")</f>
        <v/>
      </c>
    </row>
    <row r="74" customFormat="false" ht="30" hidden="false" customHeight="true" outlineLevel="0" collapsed="false">
      <c r="A74" s="64" t="str">
        <f aca="false">IF($M74="","",69)</f>
        <v/>
      </c>
      <c r="B74" s="65" t="str">
        <f aca="false">IF($M74="","",IF(INDEX(Log!$A:$A,$M74)="","",INDEX(Log!$A:$A,$M74)))</f>
        <v/>
      </c>
      <c r="C74" s="65" t="str">
        <f aca="false">IF($M74="","",IF(INDEX(Log!$B:$B,$M74)="","",INDEX(Log!$B:$B,$M74)))</f>
        <v/>
      </c>
      <c r="D74" s="66" t="str">
        <f aca="false">IF($M74="","",IF(INDEX(Log!$C:$C,$M74)="","",INDEX(Log!$C:$C,$M74)))</f>
        <v/>
      </c>
      <c r="E74" s="65" t="str">
        <f aca="false">IF($M74="","",IF(INDEX(Log!$K:$K,$M74)="","",INDEX(Log!$K:$K,$M74)))</f>
        <v/>
      </c>
      <c r="F74" s="65" t="str">
        <f aca="false">IF($M74="","",IF(INDEX(Log!$AD:$AD,$M74)="","",INDEX(Log!$AD:$AD,$M74)))</f>
        <v/>
      </c>
      <c r="G74" s="65" t="str">
        <f aca="false">IF($M74="","",IF(INDEX(Log!$AE:$AE,$M74)="","",INDEX(Log!$AE:$AE,$M74)))</f>
        <v/>
      </c>
      <c r="H74" s="65" t="str">
        <f aca="false">IF($M74="","",IF(INDEX(Log!$AF:$AF,$M74)="","",INDEX(Log!$AF:$AF,$M74)))</f>
        <v/>
      </c>
      <c r="I74" s="66" t="str">
        <f aca="false">IF($M74="","",IF(INDEX(Log!$AG:$AG,$M74)="","",INDEX(Log!$AG:$AG,$M74)))</f>
        <v/>
      </c>
      <c r="J74" s="65" t="str">
        <f aca="false">IF($M74="","",IF(INDEX(Log!$AH:$AH,$M74)="","",INDEX(Log!$AH:$AH,$M74)))</f>
        <v/>
      </c>
      <c r="K74" s="64" t="str">
        <f aca="false">IF($M74="","",IF(INDEX(Log!$AI:$AI,$M74)="","",INDEX(Log!$AI:$AI,$M74)))</f>
        <v/>
      </c>
      <c r="L74" s="65" t="str">
        <f aca="false">IF($M74="","",IF(INDEX(Log!$AJ:$AJ,$M74)="","",INDEX(Log!$AJ:$AJ,$M74)))</f>
        <v/>
      </c>
      <c r="M74" s="65" t="str">
        <f aca="false">IFERROR(SMALL(Log!$AM$6:$AM$305,69),"")</f>
        <v/>
      </c>
    </row>
    <row r="75" customFormat="false" ht="30" hidden="false" customHeight="true" outlineLevel="0" collapsed="false">
      <c r="A75" s="67" t="str">
        <f aca="false">IF($M75="","",70)</f>
        <v/>
      </c>
      <c r="B75" s="68" t="str">
        <f aca="false">IF($M75="","",IF(INDEX(Log!$A:$A,$M75)="","",INDEX(Log!$A:$A,$M75)))</f>
        <v/>
      </c>
      <c r="C75" s="68" t="str">
        <f aca="false">IF($M75="","",IF(INDEX(Log!$B:$B,$M75)="","",INDEX(Log!$B:$B,$M75)))</f>
        <v/>
      </c>
      <c r="D75" s="69" t="str">
        <f aca="false">IF($M75="","",IF(INDEX(Log!$C:$C,$M75)="","",INDEX(Log!$C:$C,$M75)))</f>
        <v/>
      </c>
      <c r="E75" s="68" t="str">
        <f aca="false">IF($M75="","",IF(INDEX(Log!$K:$K,$M75)="","",INDEX(Log!$K:$K,$M75)))</f>
        <v/>
      </c>
      <c r="F75" s="68" t="str">
        <f aca="false">IF($M75="","",IF(INDEX(Log!$AD:$AD,$M75)="","",INDEX(Log!$AD:$AD,$M75)))</f>
        <v/>
      </c>
      <c r="G75" s="68" t="str">
        <f aca="false">IF($M75="","",IF(INDEX(Log!$AE:$AE,$M75)="","",INDEX(Log!$AE:$AE,$M75)))</f>
        <v/>
      </c>
      <c r="H75" s="68" t="str">
        <f aca="false">IF($M75="","",IF(INDEX(Log!$AF:$AF,$M75)="","",INDEX(Log!$AF:$AF,$M75)))</f>
        <v/>
      </c>
      <c r="I75" s="69" t="str">
        <f aca="false">IF($M75="","",IF(INDEX(Log!$AG:$AG,$M75)="","",INDEX(Log!$AG:$AG,$M75)))</f>
        <v/>
      </c>
      <c r="J75" s="68" t="str">
        <f aca="false">IF($M75="","",IF(INDEX(Log!$AH:$AH,$M75)="","",INDEX(Log!$AH:$AH,$M75)))</f>
        <v/>
      </c>
      <c r="K75" s="67" t="str">
        <f aca="false">IF($M75="","",IF(INDEX(Log!$AI:$AI,$M75)="","",INDEX(Log!$AI:$AI,$M75)))</f>
        <v/>
      </c>
      <c r="L75" s="68" t="str">
        <f aca="false">IF($M75="","",IF(INDEX(Log!$AJ:$AJ,$M75)="","",INDEX(Log!$AJ:$AJ,$M75)))</f>
        <v/>
      </c>
      <c r="M75" s="68" t="str">
        <f aca="false">IFERROR(SMALL(Log!$AM$6:$AM$305,70),"")</f>
        <v/>
      </c>
    </row>
    <row r="76" customFormat="false" ht="30" hidden="false" customHeight="true" outlineLevel="0" collapsed="false">
      <c r="A76" s="64" t="str">
        <f aca="false">IF($M76="","",71)</f>
        <v/>
      </c>
      <c r="B76" s="65" t="str">
        <f aca="false">IF($M76="","",IF(INDEX(Log!$A:$A,$M76)="","",INDEX(Log!$A:$A,$M76)))</f>
        <v/>
      </c>
      <c r="C76" s="65" t="str">
        <f aca="false">IF($M76="","",IF(INDEX(Log!$B:$B,$M76)="","",INDEX(Log!$B:$B,$M76)))</f>
        <v/>
      </c>
      <c r="D76" s="66" t="str">
        <f aca="false">IF($M76="","",IF(INDEX(Log!$C:$C,$M76)="","",INDEX(Log!$C:$C,$M76)))</f>
        <v/>
      </c>
      <c r="E76" s="65" t="str">
        <f aca="false">IF($M76="","",IF(INDEX(Log!$K:$K,$M76)="","",INDEX(Log!$K:$K,$M76)))</f>
        <v/>
      </c>
      <c r="F76" s="65" t="str">
        <f aca="false">IF($M76="","",IF(INDEX(Log!$AD:$AD,$M76)="","",INDEX(Log!$AD:$AD,$M76)))</f>
        <v/>
      </c>
      <c r="G76" s="65" t="str">
        <f aca="false">IF($M76="","",IF(INDEX(Log!$AE:$AE,$M76)="","",INDEX(Log!$AE:$AE,$M76)))</f>
        <v/>
      </c>
      <c r="H76" s="65" t="str">
        <f aca="false">IF($M76="","",IF(INDEX(Log!$AF:$AF,$M76)="","",INDEX(Log!$AF:$AF,$M76)))</f>
        <v/>
      </c>
      <c r="I76" s="66" t="str">
        <f aca="false">IF($M76="","",IF(INDEX(Log!$AG:$AG,$M76)="","",INDEX(Log!$AG:$AG,$M76)))</f>
        <v/>
      </c>
      <c r="J76" s="65" t="str">
        <f aca="false">IF($M76="","",IF(INDEX(Log!$AH:$AH,$M76)="","",INDEX(Log!$AH:$AH,$M76)))</f>
        <v/>
      </c>
      <c r="K76" s="64" t="str">
        <f aca="false">IF($M76="","",IF(INDEX(Log!$AI:$AI,$M76)="","",INDEX(Log!$AI:$AI,$M76)))</f>
        <v/>
      </c>
      <c r="L76" s="65" t="str">
        <f aca="false">IF($M76="","",IF(INDEX(Log!$AJ:$AJ,$M76)="","",INDEX(Log!$AJ:$AJ,$M76)))</f>
        <v/>
      </c>
      <c r="M76" s="65" t="str">
        <f aca="false">IFERROR(SMALL(Log!$AM$6:$AM$305,71),"")</f>
        <v/>
      </c>
    </row>
    <row r="77" customFormat="false" ht="30" hidden="false" customHeight="true" outlineLevel="0" collapsed="false">
      <c r="A77" s="67" t="str">
        <f aca="false">IF($M77="","",72)</f>
        <v/>
      </c>
      <c r="B77" s="68" t="str">
        <f aca="false">IF($M77="","",IF(INDEX(Log!$A:$A,$M77)="","",INDEX(Log!$A:$A,$M77)))</f>
        <v/>
      </c>
      <c r="C77" s="68" t="str">
        <f aca="false">IF($M77="","",IF(INDEX(Log!$B:$B,$M77)="","",INDEX(Log!$B:$B,$M77)))</f>
        <v/>
      </c>
      <c r="D77" s="69" t="str">
        <f aca="false">IF($M77="","",IF(INDEX(Log!$C:$C,$M77)="","",INDEX(Log!$C:$C,$M77)))</f>
        <v/>
      </c>
      <c r="E77" s="68" t="str">
        <f aca="false">IF($M77="","",IF(INDEX(Log!$K:$K,$M77)="","",INDEX(Log!$K:$K,$M77)))</f>
        <v/>
      </c>
      <c r="F77" s="68" t="str">
        <f aca="false">IF($M77="","",IF(INDEX(Log!$AD:$AD,$M77)="","",INDEX(Log!$AD:$AD,$M77)))</f>
        <v/>
      </c>
      <c r="G77" s="68" t="str">
        <f aca="false">IF($M77="","",IF(INDEX(Log!$AE:$AE,$M77)="","",INDEX(Log!$AE:$AE,$M77)))</f>
        <v/>
      </c>
      <c r="H77" s="68" t="str">
        <f aca="false">IF($M77="","",IF(INDEX(Log!$AF:$AF,$M77)="","",INDEX(Log!$AF:$AF,$M77)))</f>
        <v/>
      </c>
      <c r="I77" s="69" t="str">
        <f aca="false">IF($M77="","",IF(INDEX(Log!$AG:$AG,$M77)="","",INDEX(Log!$AG:$AG,$M77)))</f>
        <v/>
      </c>
      <c r="J77" s="68" t="str">
        <f aca="false">IF($M77="","",IF(INDEX(Log!$AH:$AH,$M77)="","",INDEX(Log!$AH:$AH,$M77)))</f>
        <v/>
      </c>
      <c r="K77" s="67" t="str">
        <f aca="false">IF($M77="","",IF(INDEX(Log!$AI:$AI,$M77)="","",INDEX(Log!$AI:$AI,$M77)))</f>
        <v/>
      </c>
      <c r="L77" s="68" t="str">
        <f aca="false">IF($M77="","",IF(INDEX(Log!$AJ:$AJ,$M77)="","",INDEX(Log!$AJ:$AJ,$M77)))</f>
        <v/>
      </c>
      <c r="M77" s="68" t="str">
        <f aca="false">IFERROR(SMALL(Log!$AM$6:$AM$305,72),"")</f>
        <v/>
      </c>
    </row>
    <row r="78" customFormat="false" ht="30" hidden="false" customHeight="true" outlineLevel="0" collapsed="false">
      <c r="A78" s="64" t="str">
        <f aca="false">IF($M78="","",73)</f>
        <v/>
      </c>
      <c r="B78" s="65" t="str">
        <f aca="false">IF($M78="","",IF(INDEX(Log!$A:$A,$M78)="","",INDEX(Log!$A:$A,$M78)))</f>
        <v/>
      </c>
      <c r="C78" s="65" t="str">
        <f aca="false">IF($M78="","",IF(INDEX(Log!$B:$B,$M78)="","",INDEX(Log!$B:$B,$M78)))</f>
        <v/>
      </c>
      <c r="D78" s="66" t="str">
        <f aca="false">IF($M78="","",IF(INDEX(Log!$C:$C,$M78)="","",INDEX(Log!$C:$C,$M78)))</f>
        <v/>
      </c>
      <c r="E78" s="65" t="str">
        <f aca="false">IF($M78="","",IF(INDEX(Log!$K:$K,$M78)="","",INDEX(Log!$K:$K,$M78)))</f>
        <v/>
      </c>
      <c r="F78" s="65" t="str">
        <f aca="false">IF($M78="","",IF(INDEX(Log!$AD:$AD,$M78)="","",INDEX(Log!$AD:$AD,$M78)))</f>
        <v/>
      </c>
      <c r="G78" s="65" t="str">
        <f aca="false">IF($M78="","",IF(INDEX(Log!$AE:$AE,$M78)="","",INDEX(Log!$AE:$AE,$M78)))</f>
        <v/>
      </c>
      <c r="H78" s="65" t="str">
        <f aca="false">IF($M78="","",IF(INDEX(Log!$AF:$AF,$M78)="","",INDEX(Log!$AF:$AF,$M78)))</f>
        <v/>
      </c>
      <c r="I78" s="66" t="str">
        <f aca="false">IF($M78="","",IF(INDEX(Log!$AG:$AG,$M78)="","",INDEX(Log!$AG:$AG,$M78)))</f>
        <v/>
      </c>
      <c r="J78" s="65" t="str">
        <f aca="false">IF($M78="","",IF(INDEX(Log!$AH:$AH,$M78)="","",INDEX(Log!$AH:$AH,$M78)))</f>
        <v/>
      </c>
      <c r="K78" s="64" t="str">
        <f aca="false">IF($M78="","",IF(INDEX(Log!$AI:$AI,$M78)="","",INDEX(Log!$AI:$AI,$M78)))</f>
        <v/>
      </c>
      <c r="L78" s="65" t="str">
        <f aca="false">IF($M78="","",IF(INDEX(Log!$AJ:$AJ,$M78)="","",INDEX(Log!$AJ:$AJ,$M78)))</f>
        <v/>
      </c>
      <c r="M78" s="65" t="str">
        <f aca="false">IFERROR(SMALL(Log!$AM$6:$AM$305,73),"")</f>
        <v/>
      </c>
    </row>
    <row r="79" customFormat="false" ht="30" hidden="false" customHeight="true" outlineLevel="0" collapsed="false">
      <c r="A79" s="67" t="str">
        <f aca="false">IF($M79="","",74)</f>
        <v/>
      </c>
      <c r="B79" s="68" t="str">
        <f aca="false">IF($M79="","",IF(INDEX(Log!$A:$A,$M79)="","",INDEX(Log!$A:$A,$M79)))</f>
        <v/>
      </c>
      <c r="C79" s="68" t="str">
        <f aca="false">IF($M79="","",IF(INDEX(Log!$B:$B,$M79)="","",INDEX(Log!$B:$B,$M79)))</f>
        <v/>
      </c>
      <c r="D79" s="69" t="str">
        <f aca="false">IF($M79="","",IF(INDEX(Log!$C:$C,$M79)="","",INDEX(Log!$C:$C,$M79)))</f>
        <v/>
      </c>
      <c r="E79" s="68" t="str">
        <f aca="false">IF($M79="","",IF(INDEX(Log!$K:$K,$M79)="","",INDEX(Log!$K:$K,$M79)))</f>
        <v/>
      </c>
      <c r="F79" s="68" t="str">
        <f aca="false">IF($M79="","",IF(INDEX(Log!$AD:$AD,$M79)="","",INDEX(Log!$AD:$AD,$M79)))</f>
        <v/>
      </c>
      <c r="G79" s="68" t="str">
        <f aca="false">IF($M79="","",IF(INDEX(Log!$AE:$AE,$M79)="","",INDEX(Log!$AE:$AE,$M79)))</f>
        <v/>
      </c>
      <c r="H79" s="68" t="str">
        <f aca="false">IF($M79="","",IF(INDEX(Log!$AF:$AF,$M79)="","",INDEX(Log!$AF:$AF,$M79)))</f>
        <v/>
      </c>
      <c r="I79" s="69" t="str">
        <f aca="false">IF($M79="","",IF(INDEX(Log!$AG:$AG,$M79)="","",INDEX(Log!$AG:$AG,$M79)))</f>
        <v/>
      </c>
      <c r="J79" s="68" t="str">
        <f aca="false">IF($M79="","",IF(INDEX(Log!$AH:$AH,$M79)="","",INDEX(Log!$AH:$AH,$M79)))</f>
        <v/>
      </c>
      <c r="K79" s="67" t="str">
        <f aca="false">IF($M79="","",IF(INDEX(Log!$AI:$AI,$M79)="","",INDEX(Log!$AI:$AI,$M79)))</f>
        <v/>
      </c>
      <c r="L79" s="68" t="str">
        <f aca="false">IF($M79="","",IF(INDEX(Log!$AJ:$AJ,$M79)="","",INDEX(Log!$AJ:$AJ,$M79)))</f>
        <v/>
      </c>
      <c r="M79" s="68" t="str">
        <f aca="false">IFERROR(SMALL(Log!$AM$6:$AM$305,74),"")</f>
        <v/>
      </c>
    </row>
    <row r="80" customFormat="false" ht="30" hidden="false" customHeight="true" outlineLevel="0" collapsed="false">
      <c r="A80" s="64" t="str">
        <f aca="false">IF($M80="","",75)</f>
        <v/>
      </c>
      <c r="B80" s="65" t="str">
        <f aca="false">IF($M80="","",IF(INDEX(Log!$A:$A,$M80)="","",INDEX(Log!$A:$A,$M80)))</f>
        <v/>
      </c>
      <c r="C80" s="65" t="str">
        <f aca="false">IF($M80="","",IF(INDEX(Log!$B:$B,$M80)="","",INDEX(Log!$B:$B,$M80)))</f>
        <v/>
      </c>
      <c r="D80" s="66" t="str">
        <f aca="false">IF($M80="","",IF(INDEX(Log!$C:$C,$M80)="","",INDEX(Log!$C:$C,$M80)))</f>
        <v/>
      </c>
      <c r="E80" s="65" t="str">
        <f aca="false">IF($M80="","",IF(INDEX(Log!$K:$K,$M80)="","",INDEX(Log!$K:$K,$M80)))</f>
        <v/>
      </c>
      <c r="F80" s="65" t="str">
        <f aca="false">IF($M80="","",IF(INDEX(Log!$AD:$AD,$M80)="","",INDEX(Log!$AD:$AD,$M80)))</f>
        <v/>
      </c>
      <c r="G80" s="65" t="str">
        <f aca="false">IF($M80="","",IF(INDEX(Log!$AE:$AE,$M80)="","",INDEX(Log!$AE:$AE,$M80)))</f>
        <v/>
      </c>
      <c r="H80" s="65" t="str">
        <f aca="false">IF($M80="","",IF(INDEX(Log!$AF:$AF,$M80)="","",INDEX(Log!$AF:$AF,$M80)))</f>
        <v/>
      </c>
      <c r="I80" s="66" t="str">
        <f aca="false">IF($M80="","",IF(INDEX(Log!$AG:$AG,$M80)="","",INDEX(Log!$AG:$AG,$M80)))</f>
        <v/>
      </c>
      <c r="J80" s="65" t="str">
        <f aca="false">IF($M80="","",IF(INDEX(Log!$AH:$AH,$M80)="","",INDEX(Log!$AH:$AH,$M80)))</f>
        <v/>
      </c>
      <c r="K80" s="64" t="str">
        <f aca="false">IF($M80="","",IF(INDEX(Log!$AI:$AI,$M80)="","",INDEX(Log!$AI:$AI,$M80)))</f>
        <v/>
      </c>
      <c r="L80" s="65" t="str">
        <f aca="false">IF($M80="","",IF(INDEX(Log!$AJ:$AJ,$M80)="","",INDEX(Log!$AJ:$AJ,$M80)))</f>
        <v/>
      </c>
      <c r="M80" s="65" t="str">
        <f aca="false">IFERROR(SMALL(Log!$AM$6:$AM$305,75),"")</f>
        <v/>
      </c>
    </row>
    <row r="81" customFormat="false" ht="30" hidden="false" customHeight="true" outlineLevel="0" collapsed="false">
      <c r="A81" s="67" t="str">
        <f aca="false">IF($M81="","",76)</f>
        <v/>
      </c>
      <c r="B81" s="68" t="str">
        <f aca="false">IF($M81="","",IF(INDEX(Log!$A:$A,$M81)="","",INDEX(Log!$A:$A,$M81)))</f>
        <v/>
      </c>
      <c r="C81" s="68" t="str">
        <f aca="false">IF($M81="","",IF(INDEX(Log!$B:$B,$M81)="","",INDEX(Log!$B:$B,$M81)))</f>
        <v/>
      </c>
      <c r="D81" s="69" t="str">
        <f aca="false">IF($M81="","",IF(INDEX(Log!$C:$C,$M81)="","",INDEX(Log!$C:$C,$M81)))</f>
        <v/>
      </c>
      <c r="E81" s="68" t="str">
        <f aca="false">IF($M81="","",IF(INDEX(Log!$K:$K,$M81)="","",INDEX(Log!$K:$K,$M81)))</f>
        <v/>
      </c>
      <c r="F81" s="68" t="str">
        <f aca="false">IF($M81="","",IF(INDEX(Log!$AD:$AD,$M81)="","",INDEX(Log!$AD:$AD,$M81)))</f>
        <v/>
      </c>
      <c r="G81" s="68" t="str">
        <f aca="false">IF($M81="","",IF(INDEX(Log!$AE:$AE,$M81)="","",INDEX(Log!$AE:$AE,$M81)))</f>
        <v/>
      </c>
      <c r="H81" s="68" t="str">
        <f aca="false">IF($M81="","",IF(INDEX(Log!$AF:$AF,$M81)="","",INDEX(Log!$AF:$AF,$M81)))</f>
        <v/>
      </c>
      <c r="I81" s="69" t="str">
        <f aca="false">IF($M81="","",IF(INDEX(Log!$AG:$AG,$M81)="","",INDEX(Log!$AG:$AG,$M81)))</f>
        <v/>
      </c>
      <c r="J81" s="68" t="str">
        <f aca="false">IF($M81="","",IF(INDEX(Log!$AH:$AH,$M81)="","",INDEX(Log!$AH:$AH,$M81)))</f>
        <v/>
      </c>
      <c r="K81" s="67" t="str">
        <f aca="false">IF($M81="","",IF(INDEX(Log!$AI:$AI,$M81)="","",INDEX(Log!$AI:$AI,$M81)))</f>
        <v/>
      </c>
      <c r="L81" s="68" t="str">
        <f aca="false">IF($M81="","",IF(INDEX(Log!$AJ:$AJ,$M81)="","",INDEX(Log!$AJ:$AJ,$M81)))</f>
        <v/>
      </c>
      <c r="M81" s="68" t="str">
        <f aca="false">IFERROR(SMALL(Log!$AM$6:$AM$305,76),"")</f>
        <v/>
      </c>
    </row>
    <row r="82" customFormat="false" ht="30" hidden="false" customHeight="true" outlineLevel="0" collapsed="false">
      <c r="A82" s="64" t="str">
        <f aca="false">IF($M82="","",77)</f>
        <v/>
      </c>
      <c r="B82" s="65" t="str">
        <f aca="false">IF($M82="","",IF(INDEX(Log!$A:$A,$M82)="","",INDEX(Log!$A:$A,$M82)))</f>
        <v/>
      </c>
      <c r="C82" s="65" t="str">
        <f aca="false">IF($M82="","",IF(INDEX(Log!$B:$B,$M82)="","",INDEX(Log!$B:$B,$M82)))</f>
        <v/>
      </c>
      <c r="D82" s="66" t="str">
        <f aca="false">IF($M82="","",IF(INDEX(Log!$C:$C,$M82)="","",INDEX(Log!$C:$C,$M82)))</f>
        <v/>
      </c>
      <c r="E82" s="65" t="str">
        <f aca="false">IF($M82="","",IF(INDEX(Log!$K:$K,$M82)="","",INDEX(Log!$K:$K,$M82)))</f>
        <v/>
      </c>
      <c r="F82" s="65" t="str">
        <f aca="false">IF($M82="","",IF(INDEX(Log!$AD:$AD,$M82)="","",INDEX(Log!$AD:$AD,$M82)))</f>
        <v/>
      </c>
      <c r="G82" s="65" t="str">
        <f aca="false">IF($M82="","",IF(INDEX(Log!$AE:$AE,$M82)="","",INDEX(Log!$AE:$AE,$M82)))</f>
        <v/>
      </c>
      <c r="H82" s="65" t="str">
        <f aca="false">IF($M82="","",IF(INDEX(Log!$AF:$AF,$M82)="","",INDEX(Log!$AF:$AF,$M82)))</f>
        <v/>
      </c>
      <c r="I82" s="66" t="str">
        <f aca="false">IF($M82="","",IF(INDEX(Log!$AG:$AG,$M82)="","",INDEX(Log!$AG:$AG,$M82)))</f>
        <v/>
      </c>
      <c r="J82" s="65" t="str">
        <f aca="false">IF($M82="","",IF(INDEX(Log!$AH:$AH,$M82)="","",INDEX(Log!$AH:$AH,$M82)))</f>
        <v/>
      </c>
      <c r="K82" s="64" t="str">
        <f aca="false">IF($M82="","",IF(INDEX(Log!$AI:$AI,$M82)="","",INDEX(Log!$AI:$AI,$M82)))</f>
        <v/>
      </c>
      <c r="L82" s="65" t="str">
        <f aca="false">IF($M82="","",IF(INDEX(Log!$AJ:$AJ,$M82)="","",INDEX(Log!$AJ:$AJ,$M82)))</f>
        <v/>
      </c>
      <c r="M82" s="65" t="str">
        <f aca="false">IFERROR(SMALL(Log!$AM$6:$AM$305,77),"")</f>
        <v/>
      </c>
    </row>
    <row r="83" customFormat="false" ht="30" hidden="false" customHeight="true" outlineLevel="0" collapsed="false">
      <c r="A83" s="67" t="str">
        <f aca="false">IF($M83="","",78)</f>
        <v/>
      </c>
      <c r="B83" s="68" t="str">
        <f aca="false">IF($M83="","",IF(INDEX(Log!$A:$A,$M83)="","",INDEX(Log!$A:$A,$M83)))</f>
        <v/>
      </c>
      <c r="C83" s="68" t="str">
        <f aca="false">IF($M83="","",IF(INDEX(Log!$B:$B,$M83)="","",INDEX(Log!$B:$B,$M83)))</f>
        <v/>
      </c>
      <c r="D83" s="69" t="str">
        <f aca="false">IF($M83="","",IF(INDEX(Log!$C:$C,$M83)="","",INDEX(Log!$C:$C,$M83)))</f>
        <v/>
      </c>
      <c r="E83" s="68" t="str">
        <f aca="false">IF($M83="","",IF(INDEX(Log!$K:$K,$M83)="","",INDEX(Log!$K:$K,$M83)))</f>
        <v/>
      </c>
      <c r="F83" s="68" t="str">
        <f aca="false">IF($M83="","",IF(INDEX(Log!$AD:$AD,$M83)="","",INDEX(Log!$AD:$AD,$M83)))</f>
        <v/>
      </c>
      <c r="G83" s="68" t="str">
        <f aca="false">IF($M83="","",IF(INDEX(Log!$AE:$AE,$M83)="","",INDEX(Log!$AE:$AE,$M83)))</f>
        <v/>
      </c>
      <c r="H83" s="68" t="str">
        <f aca="false">IF($M83="","",IF(INDEX(Log!$AF:$AF,$M83)="","",INDEX(Log!$AF:$AF,$M83)))</f>
        <v/>
      </c>
      <c r="I83" s="69" t="str">
        <f aca="false">IF($M83="","",IF(INDEX(Log!$AG:$AG,$M83)="","",INDEX(Log!$AG:$AG,$M83)))</f>
        <v/>
      </c>
      <c r="J83" s="68" t="str">
        <f aca="false">IF($M83="","",IF(INDEX(Log!$AH:$AH,$M83)="","",INDEX(Log!$AH:$AH,$M83)))</f>
        <v/>
      </c>
      <c r="K83" s="67" t="str">
        <f aca="false">IF($M83="","",IF(INDEX(Log!$AI:$AI,$M83)="","",INDEX(Log!$AI:$AI,$M83)))</f>
        <v/>
      </c>
      <c r="L83" s="68" t="str">
        <f aca="false">IF($M83="","",IF(INDEX(Log!$AJ:$AJ,$M83)="","",INDEX(Log!$AJ:$AJ,$M83)))</f>
        <v/>
      </c>
      <c r="M83" s="68" t="str">
        <f aca="false">IFERROR(SMALL(Log!$AM$6:$AM$305,78),"")</f>
        <v/>
      </c>
    </row>
    <row r="84" customFormat="false" ht="30" hidden="false" customHeight="true" outlineLevel="0" collapsed="false">
      <c r="A84" s="64" t="str">
        <f aca="false">IF($M84="","",79)</f>
        <v/>
      </c>
      <c r="B84" s="65" t="str">
        <f aca="false">IF($M84="","",IF(INDEX(Log!$A:$A,$M84)="","",INDEX(Log!$A:$A,$M84)))</f>
        <v/>
      </c>
      <c r="C84" s="65" t="str">
        <f aca="false">IF($M84="","",IF(INDEX(Log!$B:$B,$M84)="","",INDEX(Log!$B:$B,$M84)))</f>
        <v/>
      </c>
      <c r="D84" s="66" t="str">
        <f aca="false">IF($M84="","",IF(INDEX(Log!$C:$C,$M84)="","",INDEX(Log!$C:$C,$M84)))</f>
        <v/>
      </c>
      <c r="E84" s="65" t="str">
        <f aca="false">IF($M84="","",IF(INDEX(Log!$K:$K,$M84)="","",INDEX(Log!$K:$K,$M84)))</f>
        <v/>
      </c>
      <c r="F84" s="65" t="str">
        <f aca="false">IF($M84="","",IF(INDEX(Log!$AD:$AD,$M84)="","",INDEX(Log!$AD:$AD,$M84)))</f>
        <v/>
      </c>
      <c r="G84" s="65" t="str">
        <f aca="false">IF($M84="","",IF(INDEX(Log!$AE:$AE,$M84)="","",INDEX(Log!$AE:$AE,$M84)))</f>
        <v/>
      </c>
      <c r="H84" s="65" t="str">
        <f aca="false">IF($M84="","",IF(INDEX(Log!$AF:$AF,$M84)="","",INDEX(Log!$AF:$AF,$M84)))</f>
        <v/>
      </c>
      <c r="I84" s="66" t="str">
        <f aca="false">IF($M84="","",IF(INDEX(Log!$AG:$AG,$M84)="","",INDEX(Log!$AG:$AG,$M84)))</f>
        <v/>
      </c>
      <c r="J84" s="65" t="str">
        <f aca="false">IF($M84="","",IF(INDEX(Log!$AH:$AH,$M84)="","",INDEX(Log!$AH:$AH,$M84)))</f>
        <v/>
      </c>
      <c r="K84" s="64" t="str">
        <f aca="false">IF($M84="","",IF(INDEX(Log!$AI:$AI,$M84)="","",INDEX(Log!$AI:$AI,$M84)))</f>
        <v/>
      </c>
      <c r="L84" s="65" t="str">
        <f aca="false">IF($M84="","",IF(INDEX(Log!$AJ:$AJ,$M84)="","",INDEX(Log!$AJ:$AJ,$M84)))</f>
        <v/>
      </c>
      <c r="M84" s="65" t="str">
        <f aca="false">IFERROR(SMALL(Log!$AM$6:$AM$305,79),"")</f>
        <v/>
      </c>
    </row>
    <row r="85" customFormat="false" ht="30" hidden="false" customHeight="true" outlineLevel="0" collapsed="false">
      <c r="A85" s="67" t="str">
        <f aca="false">IF($M85="","",80)</f>
        <v/>
      </c>
      <c r="B85" s="68" t="str">
        <f aca="false">IF($M85="","",IF(INDEX(Log!$A:$A,$M85)="","",INDEX(Log!$A:$A,$M85)))</f>
        <v/>
      </c>
      <c r="C85" s="68" t="str">
        <f aca="false">IF($M85="","",IF(INDEX(Log!$B:$B,$M85)="","",INDEX(Log!$B:$B,$M85)))</f>
        <v/>
      </c>
      <c r="D85" s="69" t="str">
        <f aca="false">IF($M85="","",IF(INDEX(Log!$C:$C,$M85)="","",INDEX(Log!$C:$C,$M85)))</f>
        <v/>
      </c>
      <c r="E85" s="68" t="str">
        <f aca="false">IF($M85="","",IF(INDEX(Log!$K:$K,$M85)="","",INDEX(Log!$K:$K,$M85)))</f>
        <v/>
      </c>
      <c r="F85" s="68" t="str">
        <f aca="false">IF($M85="","",IF(INDEX(Log!$AD:$AD,$M85)="","",INDEX(Log!$AD:$AD,$M85)))</f>
        <v/>
      </c>
      <c r="G85" s="68" t="str">
        <f aca="false">IF($M85="","",IF(INDEX(Log!$AE:$AE,$M85)="","",INDEX(Log!$AE:$AE,$M85)))</f>
        <v/>
      </c>
      <c r="H85" s="68" t="str">
        <f aca="false">IF($M85="","",IF(INDEX(Log!$AF:$AF,$M85)="","",INDEX(Log!$AF:$AF,$M85)))</f>
        <v/>
      </c>
      <c r="I85" s="69" t="str">
        <f aca="false">IF($M85="","",IF(INDEX(Log!$AG:$AG,$M85)="","",INDEX(Log!$AG:$AG,$M85)))</f>
        <v/>
      </c>
      <c r="J85" s="68" t="str">
        <f aca="false">IF($M85="","",IF(INDEX(Log!$AH:$AH,$M85)="","",INDEX(Log!$AH:$AH,$M85)))</f>
        <v/>
      </c>
      <c r="K85" s="67" t="str">
        <f aca="false">IF($M85="","",IF(INDEX(Log!$AI:$AI,$M85)="","",INDEX(Log!$AI:$AI,$M85)))</f>
        <v/>
      </c>
      <c r="L85" s="68" t="str">
        <f aca="false">IF($M85="","",IF(INDEX(Log!$AJ:$AJ,$M85)="","",INDEX(Log!$AJ:$AJ,$M85)))</f>
        <v/>
      </c>
      <c r="M85" s="68" t="str">
        <f aca="false">IFERROR(SMALL(Log!$AM$6:$AM$305,80),"")</f>
        <v/>
      </c>
    </row>
    <row r="86" customFormat="false" ht="30" hidden="false" customHeight="true" outlineLevel="0" collapsed="false">
      <c r="A86" s="64" t="str">
        <f aca="false">IF($M86="","",81)</f>
        <v/>
      </c>
      <c r="B86" s="65" t="str">
        <f aca="false">IF($M86="","",IF(INDEX(Log!$A:$A,$M86)="","",INDEX(Log!$A:$A,$M86)))</f>
        <v/>
      </c>
      <c r="C86" s="65" t="str">
        <f aca="false">IF($M86="","",IF(INDEX(Log!$B:$B,$M86)="","",INDEX(Log!$B:$B,$M86)))</f>
        <v/>
      </c>
      <c r="D86" s="66" t="str">
        <f aca="false">IF($M86="","",IF(INDEX(Log!$C:$C,$M86)="","",INDEX(Log!$C:$C,$M86)))</f>
        <v/>
      </c>
      <c r="E86" s="65" t="str">
        <f aca="false">IF($M86="","",IF(INDEX(Log!$K:$K,$M86)="","",INDEX(Log!$K:$K,$M86)))</f>
        <v/>
      </c>
      <c r="F86" s="65" t="str">
        <f aca="false">IF($M86="","",IF(INDEX(Log!$AD:$AD,$M86)="","",INDEX(Log!$AD:$AD,$M86)))</f>
        <v/>
      </c>
      <c r="G86" s="65" t="str">
        <f aca="false">IF($M86="","",IF(INDEX(Log!$AE:$AE,$M86)="","",INDEX(Log!$AE:$AE,$M86)))</f>
        <v/>
      </c>
      <c r="H86" s="65" t="str">
        <f aca="false">IF($M86="","",IF(INDEX(Log!$AF:$AF,$M86)="","",INDEX(Log!$AF:$AF,$M86)))</f>
        <v/>
      </c>
      <c r="I86" s="66" t="str">
        <f aca="false">IF($M86="","",IF(INDEX(Log!$AG:$AG,$M86)="","",INDEX(Log!$AG:$AG,$M86)))</f>
        <v/>
      </c>
      <c r="J86" s="65" t="str">
        <f aca="false">IF($M86="","",IF(INDEX(Log!$AH:$AH,$M86)="","",INDEX(Log!$AH:$AH,$M86)))</f>
        <v/>
      </c>
      <c r="K86" s="64" t="str">
        <f aca="false">IF($M86="","",IF(INDEX(Log!$AI:$AI,$M86)="","",INDEX(Log!$AI:$AI,$M86)))</f>
        <v/>
      </c>
      <c r="L86" s="65" t="str">
        <f aca="false">IF($M86="","",IF(INDEX(Log!$AJ:$AJ,$M86)="","",INDEX(Log!$AJ:$AJ,$M86)))</f>
        <v/>
      </c>
      <c r="M86" s="65" t="str">
        <f aca="false">IFERROR(SMALL(Log!$AM$6:$AM$305,81),"")</f>
        <v/>
      </c>
    </row>
    <row r="87" customFormat="false" ht="30" hidden="false" customHeight="true" outlineLevel="0" collapsed="false">
      <c r="A87" s="67" t="str">
        <f aca="false">IF($M87="","",82)</f>
        <v/>
      </c>
      <c r="B87" s="68" t="str">
        <f aca="false">IF($M87="","",IF(INDEX(Log!$A:$A,$M87)="","",INDEX(Log!$A:$A,$M87)))</f>
        <v/>
      </c>
      <c r="C87" s="68" t="str">
        <f aca="false">IF($M87="","",IF(INDEX(Log!$B:$B,$M87)="","",INDEX(Log!$B:$B,$M87)))</f>
        <v/>
      </c>
      <c r="D87" s="69" t="str">
        <f aca="false">IF($M87="","",IF(INDEX(Log!$C:$C,$M87)="","",INDEX(Log!$C:$C,$M87)))</f>
        <v/>
      </c>
      <c r="E87" s="68" t="str">
        <f aca="false">IF($M87="","",IF(INDEX(Log!$K:$K,$M87)="","",INDEX(Log!$K:$K,$M87)))</f>
        <v/>
      </c>
      <c r="F87" s="68" t="str">
        <f aca="false">IF($M87="","",IF(INDEX(Log!$AD:$AD,$M87)="","",INDEX(Log!$AD:$AD,$M87)))</f>
        <v/>
      </c>
      <c r="G87" s="68" t="str">
        <f aca="false">IF($M87="","",IF(INDEX(Log!$AE:$AE,$M87)="","",INDEX(Log!$AE:$AE,$M87)))</f>
        <v/>
      </c>
      <c r="H87" s="68" t="str">
        <f aca="false">IF($M87="","",IF(INDEX(Log!$AF:$AF,$M87)="","",INDEX(Log!$AF:$AF,$M87)))</f>
        <v/>
      </c>
      <c r="I87" s="69" t="str">
        <f aca="false">IF($M87="","",IF(INDEX(Log!$AG:$AG,$M87)="","",INDEX(Log!$AG:$AG,$M87)))</f>
        <v/>
      </c>
      <c r="J87" s="68" t="str">
        <f aca="false">IF($M87="","",IF(INDEX(Log!$AH:$AH,$M87)="","",INDEX(Log!$AH:$AH,$M87)))</f>
        <v/>
      </c>
      <c r="K87" s="67" t="str">
        <f aca="false">IF($M87="","",IF(INDEX(Log!$AI:$AI,$M87)="","",INDEX(Log!$AI:$AI,$M87)))</f>
        <v/>
      </c>
      <c r="L87" s="68" t="str">
        <f aca="false">IF($M87="","",IF(INDEX(Log!$AJ:$AJ,$M87)="","",INDEX(Log!$AJ:$AJ,$M87)))</f>
        <v/>
      </c>
      <c r="M87" s="68" t="str">
        <f aca="false">IFERROR(SMALL(Log!$AM$6:$AM$305,82),"")</f>
        <v/>
      </c>
    </row>
    <row r="88" customFormat="false" ht="30" hidden="false" customHeight="true" outlineLevel="0" collapsed="false">
      <c r="A88" s="64" t="str">
        <f aca="false">IF($M88="","",83)</f>
        <v/>
      </c>
      <c r="B88" s="65" t="str">
        <f aca="false">IF($M88="","",IF(INDEX(Log!$A:$A,$M88)="","",INDEX(Log!$A:$A,$M88)))</f>
        <v/>
      </c>
      <c r="C88" s="65" t="str">
        <f aca="false">IF($M88="","",IF(INDEX(Log!$B:$B,$M88)="","",INDEX(Log!$B:$B,$M88)))</f>
        <v/>
      </c>
      <c r="D88" s="66" t="str">
        <f aca="false">IF($M88="","",IF(INDEX(Log!$C:$C,$M88)="","",INDEX(Log!$C:$C,$M88)))</f>
        <v/>
      </c>
      <c r="E88" s="65" t="str">
        <f aca="false">IF($M88="","",IF(INDEX(Log!$K:$K,$M88)="","",INDEX(Log!$K:$K,$M88)))</f>
        <v/>
      </c>
      <c r="F88" s="65" t="str">
        <f aca="false">IF($M88="","",IF(INDEX(Log!$AD:$AD,$M88)="","",INDEX(Log!$AD:$AD,$M88)))</f>
        <v/>
      </c>
      <c r="G88" s="65" t="str">
        <f aca="false">IF($M88="","",IF(INDEX(Log!$AE:$AE,$M88)="","",INDEX(Log!$AE:$AE,$M88)))</f>
        <v/>
      </c>
      <c r="H88" s="65" t="str">
        <f aca="false">IF($M88="","",IF(INDEX(Log!$AF:$AF,$M88)="","",INDEX(Log!$AF:$AF,$M88)))</f>
        <v/>
      </c>
      <c r="I88" s="66" t="str">
        <f aca="false">IF($M88="","",IF(INDEX(Log!$AG:$AG,$M88)="","",INDEX(Log!$AG:$AG,$M88)))</f>
        <v/>
      </c>
      <c r="J88" s="65" t="str">
        <f aca="false">IF($M88="","",IF(INDEX(Log!$AH:$AH,$M88)="","",INDEX(Log!$AH:$AH,$M88)))</f>
        <v/>
      </c>
      <c r="K88" s="64" t="str">
        <f aca="false">IF($M88="","",IF(INDEX(Log!$AI:$AI,$M88)="","",INDEX(Log!$AI:$AI,$M88)))</f>
        <v/>
      </c>
      <c r="L88" s="65" t="str">
        <f aca="false">IF($M88="","",IF(INDEX(Log!$AJ:$AJ,$M88)="","",INDEX(Log!$AJ:$AJ,$M88)))</f>
        <v/>
      </c>
      <c r="M88" s="65" t="str">
        <f aca="false">IFERROR(SMALL(Log!$AM$6:$AM$305,83),"")</f>
        <v/>
      </c>
    </row>
    <row r="89" customFormat="false" ht="30" hidden="false" customHeight="true" outlineLevel="0" collapsed="false">
      <c r="A89" s="67" t="str">
        <f aca="false">IF($M89="","",84)</f>
        <v/>
      </c>
      <c r="B89" s="68" t="str">
        <f aca="false">IF($M89="","",IF(INDEX(Log!$A:$A,$M89)="","",INDEX(Log!$A:$A,$M89)))</f>
        <v/>
      </c>
      <c r="C89" s="68" t="str">
        <f aca="false">IF($M89="","",IF(INDEX(Log!$B:$B,$M89)="","",INDEX(Log!$B:$B,$M89)))</f>
        <v/>
      </c>
      <c r="D89" s="69" t="str">
        <f aca="false">IF($M89="","",IF(INDEX(Log!$C:$C,$M89)="","",INDEX(Log!$C:$C,$M89)))</f>
        <v/>
      </c>
      <c r="E89" s="68" t="str">
        <f aca="false">IF($M89="","",IF(INDEX(Log!$K:$K,$M89)="","",INDEX(Log!$K:$K,$M89)))</f>
        <v/>
      </c>
      <c r="F89" s="68" t="str">
        <f aca="false">IF($M89="","",IF(INDEX(Log!$AD:$AD,$M89)="","",INDEX(Log!$AD:$AD,$M89)))</f>
        <v/>
      </c>
      <c r="G89" s="68" t="str">
        <f aca="false">IF($M89="","",IF(INDEX(Log!$AE:$AE,$M89)="","",INDEX(Log!$AE:$AE,$M89)))</f>
        <v/>
      </c>
      <c r="H89" s="68" t="str">
        <f aca="false">IF($M89="","",IF(INDEX(Log!$AF:$AF,$M89)="","",INDEX(Log!$AF:$AF,$M89)))</f>
        <v/>
      </c>
      <c r="I89" s="69" t="str">
        <f aca="false">IF($M89="","",IF(INDEX(Log!$AG:$AG,$M89)="","",INDEX(Log!$AG:$AG,$M89)))</f>
        <v/>
      </c>
      <c r="J89" s="68" t="str">
        <f aca="false">IF($M89="","",IF(INDEX(Log!$AH:$AH,$M89)="","",INDEX(Log!$AH:$AH,$M89)))</f>
        <v/>
      </c>
      <c r="K89" s="67" t="str">
        <f aca="false">IF($M89="","",IF(INDEX(Log!$AI:$AI,$M89)="","",INDEX(Log!$AI:$AI,$M89)))</f>
        <v/>
      </c>
      <c r="L89" s="68" t="str">
        <f aca="false">IF($M89="","",IF(INDEX(Log!$AJ:$AJ,$M89)="","",INDEX(Log!$AJ:$AJ,$M89)))</f>
        <v/>
      </c>
      <c r="M89" s="68" t="str">
        <f aca="false">IFERROR(SMALL(Log!$AM$6:$AM$305,84),"")</f>
        <v/>
      </c>
    </row>
    <row r="90" customFormat="false" ht="30" hidden="false" customHeight="true" outlineLevel="0" collapsed="false">
      <c r="A90" s="64" t="str">
        <f aca="false">IF($M90="","",85)</f>
        <v/>
      </c>
      <c r="B90" s="65" t="str">
        <f aca="false">IF($M90="","",IF(INDEX(Log!$A:$A,$M90)="","",INDEX(Log!$A:$A,$M90)))</f>
        <v/>
      </c>
      <c r="C90" s="65" t="str">
        <f aca="false">IF($M90="","",IF(INDEX(Log!$B:$B,$M90)="","",INDEX(Log!$B:$B,$M90)))</f>
        <v/>
      </c>
      <c r="D90" s="66" t="str">
        <f aca="false">IF($M90="","",IF(INDEX(Log!$C:$C,$M90)="","",INDEX(Log!$C:$C,$M90)))</f>
        <v/>
      </c>
      <c r="E90" s="65" t="str">
        <f aca="false">IF($M90="","",IF(INDEX(Log!$K:$K,$M90)="","",INDEX(Log!$K:$K,$M90)))</f>
        <v/>
      </c>
      <c r="F90" s="65" t="str">
        <f aca="false">IF($M90="","",IF(INDEX(Log!$AD:$AD,$M90)="","",INDEX(Log!$AD:$AD,$M90)))</f>
        <v/>
      </c>
      <c r="G90" s="65" t="str">
        <f aca="false">IF($M90="","",IF(INDEX(Log!$AE:$AE,$M90)="","",INDEX(Log!$AE:$AE,$M90)))</f>
        <v/>
      </c>
      <c r="H90" s="65" t="str">
        <f aca="false">IF($M90="","",IF(INDEX(Log!$AF:$AF,$M90)="","",INDEX(Log!$AF:$AF,$M90)))</f>
        <v/>
      </c>
      <c r="I90" s="66" t="str">
        <f aca="false">IF($M90="","",IF(INDEX(Log!$AG:$AG,$M90)="","",INDEX(Log!$AG:$AG,$M90)))</f>
        <v/>
      </c>
      <c r="J90" s="65" t="str">
        <f aca="false">IF($M90="","",IF(INDEX(Log!$AH:$AH,$M90)="","",INDEX(Log!$AH:$AH,$M90)))</f>
        <v/>
      </c>
      <c r="K90" s="64" t="str">
        <f aca="false">IF($M90="","",IF(INDEX(Log!$AI:$AI,$M90)="","",INDEX(Log!$AI:$AI,$M90)))</f>
        <v/>
      </c>
      <c r="L90" s="65" t="str">
        <f aca="false">IF($M90="","",IF(INDEX(Log!$AJ:$AJ,$M90)="","",INDEX(Log!$AJ:$AJ,$M90)))</f>
        <v/>
      </c>
      <c r="M90" s="65" t="str">
        <f aca="false">IFERROR(SMALL(Log!$AM$6:$AM$305,85),"")</f>
        <v/>
      </c>
    </row>
    <row r="91" customFormat="false" ht="30" hidden="false" customHeight="true" outlineLevel="0" collapsed="false">
      <c r="A91" s="67" t="str">
        <f aca="false">IF($M91="","",86)</f>
        <v/>
      </c>
      <c r="B91" s="68" t="str">
        <f aca="false">IF($M91="","",IF(INDEX(Log!$A:$A,$M91)="","",INDEX(Log!$A:$A,$M91)))</f>
        <v/>
      </c>
      <c r="C91" s="68" t="str">
        <f aca="false">IF($M91="","",IF(INDEX(Log!$B:$B,$M91)="","",INDEX(Log!$B:$B,$M91)))</f>
        <v/>
      </c>
      <c r="D91" s="69" t="str">
        <f aca="false">IF($M91="","",IF(INDEX(Log!$C:$C,$M91)="","",INDEX(Log!$C:$C,$M91)))</f>
        <v/>
      </c>
      <c r="E91" s="68" t="str">
        <f aca="false">IF($M91="","",IF(INDEX(Log!$K:$K,$M91)="","",INDEX(Log!$K:$K,$M91)))</f>
        <v/>
      </c>
      <c r="F91" s="68" t="str">
        <f aca="false">IF($M91="","",IF(INDEX(Log!$AD:$AD,$M91)="","",INDEX(Log!$AD:$AD,$M91)))</f>
        <v/>
      </c>
      <c r="G91" s="68" t="str">
        <f aca="false">IF($M91="","",IF(INDEX(Log!$AE:$AE,$M91)="","",INDEX(Log!$AE:$AE,$M91)))</f>
        <v/>
      </c>
      <c r="H91" s="68" t="str">
        <f aca="false">IF($M91="","",IF(INDEX(Log!$AF:$AF,$M91)="","",INDEX(Log!$AF:$AF,$M91)))</f>
        <v/>
      </c>
      <c r="I91" s="69" t="str">
        <f aca="false">IF($M91="","",IF(INDEX(Log!$AG:$AG,$M91)="","",INDEX(Log!$AG:$AG,$M91)))</f>
        <v/>
      </c>
      <c r="J91" s="68" t="str">
        <f aca="false">IF($M91="","",IF(INDEX(Log!$AH:$AH,$M91)="","",INDEX(Log!$AH:$AH,$M91)))</f>
        <v/>
      </c>
      <c r="K91" s="67" t="str">
        <f aca="false">IF($M91="","",IF(INDEX(Log!$AI:$AI,$M91)="","",INDEX(Log!$AI:$AI,$M91)))</f>
        <v/>
      </c>
      <c r="L91" s="68" t="str">
        <f aca="false">IF($M91="","",IF(INDEX(Log!$AJ:$AJ,$M91)="","",INDEX(Log!$AJ:$AJ,$M91)))</f>
        <v/>
      </c>
      <c r="M91" s="68" t="str">
        <f aca="false">IFERROR(SMALL(Log!$AM$6:$AM$305,86),"")</f>
        <v/>
      </c>
    </row>
    <row r="92" customFormat="false" ht="30" hidden="false" customHeight="true" outlineLevel="0" collapsed="false">
      <c r="A92" s="64" t="str">
        <f aca="false">IF($M92="","",87)</f>
        <v/>
      </c>
      <c r="B92" s="65" t="str">
        <f aca="false">IF($M92="","",IF(INDEX(Log!$A:$A,$M92)="","",INDEX(Log!$A:$A,$M92)))</f>
        <v/>
      </c>
      <c r="C92" s="65" t="str">
        <f aca="false">IF($M92="","",IF(INDEX(Log!$B:$B,$M92)="","",INDEX(Log!$B:$B,$M92)))</f>
        <v/>
      </c>
      <c r="D92" s="66" t="str">
        <f aca="false">IF($M92="","",IF(INDEX(Log!$C:$C,$M92)="","",INDEX(Log!$C:$C,$M92)))</f>
        <v/>
      </c>
      <c r="E92" s="65" t="str">
        <f aca="false">IF($M92="","",IF(INDEX(Log!$K:$K,$M92)="","",INDEX(Log!$K:$K,$M92)))</f>
        <v/>
      </c>
      <c r="F92" s="65" t="str">
        <f aca="false">IF($M92="","",IF(INDEX(Log!$AD:$AD,$M92)="","",INDEX(Log!$AD:$AD,$M92)))</f>
        <v/>
      </c>
      <c r="G92" s="65" t="str">
        <f aca="false">IF($M92="","",IF(INDEX(Log!$AE:$AE,$M92)="","",INDEX(Log!$AE:$AE,$M92)))</f>
        <v/>
      </c>
      <c r="H92" s="65" t="str">
        <f aca="false">IF($M92="","",IF(INDEX(Log!$AF:$AF,$M92)="","",INDEX(Log!$AF:$AF,$M92)))</f>
        <v/>
      </c>
      <c r="I92" s="66" t="str">
        <f aca="false">IF($M92="","",IF(INDEX(Log!$AG:$AG,$M92)="","",INDEX(Log!$AG:$AG,$M92)))</f>
        <v/>
      </c>
      <c r="J92" s="65" t="str">
        <f aca="false">IF($M92="","",IF(INDEX(Log!$AH:$AH,$M92)="","",INDEX(Log!$AH:$AH,$M92)))</f>
        <v/>
      </c>
      <c r="K92" s="64" t="str">
        <f aca="false">IF($M92="","",IF(INDEX(Log!$AI:$AI,$M92)="","",INDEX(Log!$AI:$AI,$M92)))</f>
        <v/>
      </c>
      <c r="L92" s="65" t="str">
        <f aca="false">IF($M92="","",IF(INDEX(Log!$AJ:$AJ,$M92)="","",INDEX(Log!$AJ:$AJ,$M92)))</f>
        <v/>
      </c>
      <c r="M92" s="65" t="str">
        <f aca="false">IFERROR(SMALL(Log!$AM$6:$AM$305,87),"")</f>
        <v/>
      </c>
    </row>
    <row r="93" customFormat="false" ht="30" hidden="false" customHeight="true" outlineLevel="0" collapsed="false">
      <c r="A93" s="67" t="str">
        <f aca="false">IF($M93="","",88)</f>
        <v/>
      </c>
      <c r="B93" s="68" t="str">
        <f aca="false">IF($M93="","",IF(INDEX(Log!$A:$A,$M93)="","",INDEX(Log!$A:$A,$M93)))</f>
        <v/>
      </c>
      <c r="C93" s="68" t="str">
        <f aca="false">IF($M93="","",IF(INDEX(Log!$B:$B,$M93)="","",INDEX(Log!$B:$B,$M93)))</f>
        <v/>
      </c>
      <c r="D93" s="69" t="str">
        <f aca="false">IF($M93="","",IF(INDEX(Log!$C:$C,$M93)="","",INDEX(Log!$C:$C,$M93)))</f>
        <v/>
      </c>
      <c r="E93" s="68" t="str">
        <f aca="false">IF($M93="","",IF(INDEX(Log!$K:$K,$M93)="","",INDEX(Log!$K:$K,$M93)))</f>
        <v/>
      </c>
      <c r="F93" s="68" t="str">
        <f aca="false">IF($M93="","",IF(INDEX(Log!$AD:$AD,$M93)="","",INDEX(Log!$AD:$AD,$M93)))</f>
        <v/>
      </c>
      <c r="G93" s="68" t="str">
        <f aca="false">IF($M93="","",IF(INDEX(Log!$AE:$AE,$M93)="","",INDEX(Log!$AE:$AE,$M93)))</f>
        <v/>
      </c>
      <c r="H93" s="68" t="str">
        <f aca="false">IF($M93="","",IF(INDEX(Log!$AF:$AF,$M93)="","",INDEX(Log!$AF:$AF,$M93)))</f>
        <v/>
      </c>
      <c r="I93" s="69" t="str">
        <f aca="false">IF($M93="","",IF(INDEX(Log!$AG:$AG,$M93)="","",INDEX(Log!$AG:$AG,$M93)))</f>
        <v/>
      </c>
      <c r="J93" s="68" t="str">
        <f aca="false">IF($M93="","",IF(INDEX(Log!$AH:$AH,$M93)="","",INDEX(Log!$AH:$AH,$M93)))</f>
        <v/>
      </c>
      <c r="K93" s="67" t="str">
        <f aca="false">IF($M93="","",IF(INDEX(Log!$AI:$AI,$M93)="","",INDEX(Log!$AI:$AI,$M93)))</f>
        <v/>
      </c>
      <c r="L93" s="68" t="str">
        <f aca="false">IF($M93="","",IF(INDEX(Log!$AJ:$AJ,$M93)="","",INDEX(Log!$AJ:$AJ,$M93)))</f>
        <v/>
      </c>
      <c r="M93" s="68" t="str">
        <f aca="false">IFERROR(SMALL(Log!$AM$6:$AM$305,88),"")</f>
        <v/>
      </c>
    </row>
    <row r="94" customFormat="false" ht="30" hidden="false" customHeight="true" outlineLevel="0" collapsed="false">
      <c r="A94" s="64" t="str">
        <f aca="false">IF($M94="","",89)</f>
        <v/>
      </c>
      <c r="B94" s="65" t="str">
        <f aca="false">IF($M94="","",IF(INDEX(Log!$A:$A,$M94)="","",INDEX(Log!$A:$A,$M94)))</f>
        <v/>
      </c>
      <c r="C94" s="65" t="str">
        <f aca="false">IF($M94="","",IF(INDEX(Log!$B:$B,$M94)="","",INDEX(Log!$B:$B,$M94)))</f>
        <v/>
      </c>
      <c r="D94" s="66" t="str">
        <f aca="false">IF($M94="","",IF(INDEX(Log!$C:$C,$M94)="","",INDEX(Log!$C:$C,$M94)))</f>
        <v/>
      </c>
      <c r="E94" s="65" t="str">
        <f aca="false">IF($M94="","",IF(INDEX(Log!$K:$K,$M94)="","",INDEX(Log!$K:$K,$M94)))</f>
        <v/>
      </c>
      <c r="F94" s="65" t="str">
        <f aca="false">IF($M94="","",IF(INDEX(Log!$AD:$AD,$M94)="","",INDEX(Log!$AD:$AD,$M94)))</f>
        <v/>
      </c>
      <c r="G94" s="65" t="str">
        <f aca="false">IF($M94="","",IF(INDEX(Log!$AE:$AE,$M94)="","",INDEX(Log!$AE:$AE,$M94)))</f>
        <v/>
      </c>
      <c r="H94" s="65" t="str">
        <f aca="false">IF($M94="","",IF(INDEX(Log!$AF:$AF,$M94)="","",INDEX(Log!$AF:$AF,$M94)))</f>
        <v/>
      </c>
      <c r="I94" s="66" t="str">
        <f aca="false">IF($M94="","",IF(INDEX(Log!$AG:$AG,$M94)="","",INDEX(Log!$AG:$AG,$M94)))</f>
        <v/>
      </c>
      <c r="J94" s="65" t="str">
        <f aca="false">IF($M94="","",IF(INDEX(Log!$AH:$AH,$M94)="","",INDEX(Log!$AH:$AH,$M94)))</f>
        <v/>
      </c>
      <c r="K94" s="64" t="str">
        <f aca="false">IF($M94="","",IF(INDEX(Log!$AI:$AI,$M94)="","",INDEX(Log!$AI:$AI,$M94)))</f>
        <v/>
      </c>
      <c r="L94" s="65" t="str">
        <f aca="false">IF($M94="","",IF(INDEX(Log!$AJ:$AJ,$M94)="","",INDEX(Log!$AJ:$AJ,$M94)))</f>
        <v/>
      </c>
      <c r="M94" s="65" t="str">
        <f aca="false">IFERROR(SMALL(Log!$AM$6:$AM$305,89),"")</f>
        <v/>
      </c>
    </row>
    <row r="95" customFormat="false" ht="30" hidden="false" customHeight="true" outlineLevel="0" collapsed="false">
      <c r="A95" s="67" t="str">
        <f aca="false">IF($M95="","",90)</f>
        <v/>
      </c>
      <c r="B95" s="68" t="str">
        <f aca="false">IF($M95="","",IF(INDEX(Log!$A:$A,$M95)="","",INDEX(Log!$A:$A,$M95)))</f>
        <v/>
      </c>
      <c r="C95" s="68" t="str">
        <f aca="false">IF($M95="","",IF(INDEX(Log!$B:$B,$M95)="","",INDEX(Log!$B:$B,$M95)))</f>
        <v/>
      </c>
      <c r="D95" s="69" t="str">
        <f aca="false">IF($M95="","",IF(INDEX(Log!$C:$C,$M95)="","",INDEX(Log!$C:$C,$M95)))</f>
        <v/>
      </c>
      <c r="E95" s="68" t="str">
        <f aca="false">IF($M95="","",IF(INDEX(Log!$K:$K,$M95)="","",INDEX(Log!$K:$K,$M95)))</f>
        <v/>
      </c>
      <c r="F95" s="68" t="str">
        <f aca="false">IF($M95="","",IF(INDEX(Log!$AD:$AD,$M95)="","",INDEX(Log!$AD:$AD,$M95)))</f>
        <v/>
      </c>
      <c r="G95" s="68" t="str">
        <f aca="false">IF($M95="","",IF(INDEX(Log!$AE:$AE,$M95)="","",INDEX(Log!$AE:$AE,$M95)))</f>
        <v/>
      </c>
      <c r="H95" s="68" t="str">
        <f aca="false">IF($M95="","",IF(INDEX(Log!$AF:$AF,$M95)="","",INDEX(Log!$AF:$AF,$M95)))</f>
        <v/>
      </c>
      <c r="I95" s="69" t="str">
        <f aca="false">IF($M95="","",IF(INDEX(Log!$AG:$AG,$M95)="","",INDEX(Log!$AG:$AG,$M95)))</f>
        <v/>
      </c>
      <c r="J95" s="68" t="str">
        <f aca="false">IF($M95="","",IF(INDEX(Log!$AH:$AH,$M95)="","",INDEX(Log!$AH:$AH,$M95)))</f>
        <v/>
      </c>
      <c r="K95" s="67" t="str">
        <f aca="false">IF($M95="","",IF(INDEX(Log!$AI:$AI,$M95)="","",INDEX(Log!$AI:$AI,$M95)))</f>
        <v/>
      </c>
      <c r="L95" s="68" t="str">
        <f aca="false">IF($M95="","",IF(INDEX(Log!$AJ:$AJ,$M95)="","",INDEX(Log!$AJ:$AJ,$M95)))</f>
        <v/>
      </c>
      <c r="M95" s="68" t="str">
        <f aca="false">IFERROR(SMALL(Log!$AM$6:$AM$305,90),"")</f>
        <v/>
      </c>
    </row>
    <row r="96" customFormat="false" ht="30" hidden="false" customHeight="true" outlineLevel="0" collapsed="false">
      <c r="A96" s="64" t="str">
        <f aca="false">IF($M96="","",91)</f>
        <v/>
      </c>
      <c r="B96" s="65" t="str">
        <f aca="false">IF($M96="","",IF(INDEX(Log!$A:$A,$M96)="","",INDEX(Log!$A:$A,$M96)))</f>
        <v/>
      </c>
      <c r="C96" s="65" t="str">
        <f aca="false">IF($M96="","",IF(INDEX(Log!$B:$B,$M96)="","",INDEX(Log!$B:$B,$M96)))</f>
        <v/>
      </c>
      <c r="D96" s="66" t="str">
        <f aca="false">IF($M96="","",IF(INDEX(Log!$C:$C,$M96)="","",INDEX(Log!$C:$C,$M96)))</f>
        <v/>
      </c>
      <c r="E96" s="65" t="str">
        <f aca="false">IF($M96="","",IF(INDEX(Log!$K:$K,$M96)="","",INDEX(Log!$K:$K,$M96)))</f>
        <v/>
      </c>
      <c r="F96" s="65" t="str">
        <f aca="false">IF($M96="","",IF(INDEX(Log!$AD:$AD,$M96)="","",INDEX(Log!$AD:$AD,$M96)))</f>
        <v/>
      </c>
      <c r="G96" s="65" t="str">
        <f aca="false">IF($M96="","",IF(INDEX(Log!$AE:$AE,$M96)="","",INDEX(Log!$AE:$AE,$M96)))</f>
        <v/>
      </c>
      <c r="H96" s="65" t="str">
        <f aca="false">IF($M96="","",IF(INDEX(Log!$AF:$AF,$M96)="","",INDEX(Log!$AF:$AF,$M96)))</f>
        <v/>
      </c>
      <c r="I96" s="66" t="str">
        <f aca="false">IF($M96="","",IF(INDEX(Log!$AG:$AG,$M96)="","",INDEX(Log!$AG:$AG,$M96)))</f>
        <v/>
      </c>
      <c r="J96" s="65" t="str">
        <f aca="false">IF($M96="","",IF(INDEX(Log!$AH:$AH,$M96)="","",INDEX(Log!$AH:$AH,$M96)))</f>
        <v/>
      </c>
      <c r="K96" s="64" t="str">
        <f aca="false">IF($M96="","",IF(INDEX(Log!$AI:$AI,$M96)="","",INDEX(Log!$AI:$AI,$M96)))</f>
        <v/>
      </c>
      <c r="L96" s="65" t="str">
        <f aca="false">IF($M96="","",IF(INDEX(Log!$AJ:$AJ,$M96)="","",INDEX(Log!$AJ:$AJ,$M96)))</f>
        <v/>
      </c>
      <c r="M96" s="65" t="str">
        <f aca="false">IFERROR(SMALL(Log!$AM$6:$AM$305,91),"")</f>
        <v/>
      </c>
    </row>
    <row r="97" customFormat="false" ht="30" hidden="false" customHeight="true" outlineLevel="0" collapsed="false">
      <c r="A97" s="67" t="str">
        <f aca="false">IF($M97="","",92)</f>
        <v/>
      </c>
      <c r="B97" s="68" t="str">
        <f aca="false">IF($M97="","",IF(INDEX(Log!$A:$A,$M97)="","",INDEX(Log!$A:$A,$M97)))</f>
        <v/>
      </c>
      <c r="C97" s="68" t="str">
        <f aca="false">IF($M97="","",IF(INDEX(Log!$B:$B,$M97)="","",INDEX(Log!$B:$B,$M97)))</f>
        <v/>
      </c>
      <c r="D97" s="69" t="str">
        <f aca="false">IF($M97="","",IF(INDEX(Log!$C:$C,$M97)="","",INDEX(Log!$C:$C,$M97)))</f>
        <v/>
      </c>
      <c r="E97" s="68" t="str">
        <f aca="false">IF($M97="","",IF(INDEX(Log!$K:$K,$M97)="","",INDEX(Log!$K:$K,$M97)))</f>
        <v/>
      </c>
      <c r="F97" s="68" t="str">
        <f aca="false">IF($M97="","",IF(INDEX(Log!$AD:$AD,$M97)="","",INDEX(Log!$AD:$AD,$M97)))</f>
        <v/>
      </c>
      <c r="G97" s="68" t="str">
        <f aca="false">IF($M97="","",IF(INDEX(Log!$AE:$AE,$M97)="","",INDEX(Log!$AE:$AE,$M97)))</f>
        <v/>
      </c>
      <c r="H97" s="68" t="str">
        <f aca="false">IF($M97="","",IF(INDEX(Log!$AF:$AF,$M97)="","",INDEX(Log!$AF:$AF,$M97)))</f>
        <v/>
      </c>
      <c r="I97" s="69" t="str">
        <f aca="false">IF($M97="","",IF(INDEX(Log!$AG:$AG,$M97)="","",INDEX(Log!$AG:$AG,$M97)))</f>
        <v/>
      </c>
      <c r="J97" s="68" t="str">
        <f aca="false">IF($M97="","",IF(INDEX(Log!$AH:$AH,$M97)="","",INDEX(Log!$AH:$AH,$M97)))</f>
        <v/>
      </c>
      <c r="K97" s="67" t="str">
        <f aca="false">IF($M97="","",IF(INDEX(Log!$AI:$AI,$M97)="","",INDEX(Log!$AI:$AI,$M97)))</f>
        <v/>
      </c>
      <c r="L97" s="68" t="str">
        <f aca="false">IF($M97="","",IF(INDEX(Log!$AJ:$AJ,$M97)="","",INDEX(Log!$AJ:$AJ,$M97)))</f>
        <v/>
      </c>
      <c r="M97" s="68" t="str">
        <f aca="false">IFERROR(SMALL(Log!$AM$6:$AM$305,92),"")</f>
        <v/>
      </c>
    </row>
    <row r="98" customFormat="false" ht="30" hidden="false" customHeight="true" outlineLevel="0" collapsed="false">
      <c r="A98" s="64" t="str">
        <f aca="false">IF($M98="","",93)</f>
        <v/>
      </c>
      <c r="B98" s="65" t="str">
        <f aca="false">IF($M98="","",IF(INDEX(Log!$A:$A,$M98)="","",INDEX(Log!$A:$A,$M98)))</f>
        <v/>
      </c>
      <c r="C98" s="65" t="str">
        <f aca="false">IF($M98="","",IF(INDEX(Log!$B:$B,$M98)="","",INDEX(Log!$B:$B,$M98)))</f>
        <v/>
      </c>
      <c r="D98" s="66" t="str">
        <f aca="false">IF($M98="","",IF(INDEX(Log!$C:$C,$M98)="","",INDEX(Log!$C:$C,$M98)))</f>
        <v/>
      </c>
      <c r="E98" s="65" t="str">
        <f aca="false">IF($M98="","",IF(INDEX(Log!$K:$K,$M98)="","",INDEX(Log!$K:$K,$M98)))</f>
        <v/>
      </c>
      <c r="F98" s="65" t="str">
        <f aca="false">IF($M98="","",IF(INDEX(Log!$AD:$AD,$M98)="","",INDEX(Log!$AD:$AD,$M98)))</f>
        <v/>
      </c>
      <c r="G98" s="65" t="str">
        <f aca="false">IF($M98="","",IF(INDEX(Log!$AE:$AE,$M98)="","",INDEX(Log!$AE:$AE,$M98)))</f>
        <v/>
      </c>
      <c r="H98" s="65" t="str">
        <f aca="false">IF($M98="","",IF(INDEX(Log!$AF:$AF,$M98)="","",INDEX(Log!$AF:$AF,$M98)))</f>
        <v/>
      </c>
      <c r="I98" s="66" t="str">
        <f aca="false">IF($M98="","",IF(INDEX(Log!$AG:$AG,$M98)="","",INDEX(Log!$AG:$AG,$M98)))</f>
        <v/>
      </c>
      <c r="J98" s="65" t="str">
        <f aca="false">IF($M98="","",IF(INDEX(Log!$AH:$AH,$M98)="","",INDEX(Log!$AH:$AH,$M98)))</f>
        <v/>
      </c>
      <c r="K98" s="64" t="str">
        <f aca="false">IF($M98="","",IF(INDEX(Log!$AI:$AI,$M98)="","",INDEX(Log!$AI:$AI,$M98)))</f>
        <v/>
      </c>
      <c r="L98" s="65" t="str">
        <f aca="false">IF($M98="","",IF(INDEX(Log!$AJ:$AJ,$M98)="","",INDEX(Log!$AJ:$AJ,$M98)))</f>
        <v/>
      </c>
      <c r="M98" s="65" t="str">
        <f aca="false">IFERROR(SMALL(Log!$AM$6:$AM$305,93),"")</f>
        <v/>
      </c>
    </row>
    <row r="99" customFormat="false" ht="30" hidden="false" customHeight="true" outlineLevel="0" collapsed="false">
      <c r="A99" s="67" t="str">
        <f aca="false">IF($M99="","",94)</f>
        <v/>
      </c>
      <c r="B99" s="68" t="str">
        <f aca="false">IF($M99="","",IF(INDEX(Log!$A:$A,$M99)="","",INDEX(Log!$A:$A,$M99)))</f>
        <v/>
      </c>
      <c r="C99" s="68" t="str">
        <f aca="false">IF($M99="","",IF(INDEX(Log!$B:$B,$M99)="","",INDEX(Log!$B:$B,$M99)))</f>
        <v/>
      </c>
      <c r="D99" s="69" t="str">
        <f aca="false">IF($M99="","",IF(INDEX(Log!$C:$C,$M99)="","",INDEX(Log!$C:$C,$M99)))</f>
        <v/>
      </c>
      <c r="E99" s="68" t="str">
        <f aca="false">IF($M99="","",IF(INDEX(Log!$K:$K,$M99)="","",INDEX(Log!$K:$K,$M99)))</f>
        <v/>
      </c>
      <c r="F99" s="68" t="str">
        <f aca="false">IF($M99="","",IF(INDEX(Log!$AD:$AD,$M99)="","",INDEX(Log!$AD:$AD,$M99)))</f>
        <v/>
      </c>
      <c r="G99" s="68" t="str">
        <f aca="false">IF($M99="","",IF(INDEX(Log!$AE:$AE,$M99)="","",INDEX(Log!$AE:$AE,$M99)))</f>
        <v/>
      </c>
      <c r="H99" s="68" t="str">
        <f aca="false">IF($M99="","",IF(INDEX(Log!$AF:$AF,$M99)="","",INDEX(Log!$AF:$AF,$M99)))</f>
        <v/>
      </c>
      <c r="I99" s="69" t="str">
        <f aca="false">IF($M99="","",IF(INDEX(Log!$AG:$AG,$M99)="","",INDEX(Log!$AG:$AG,$M99)))</f>
        <v/>
      </c>
      <c r="J99" s="68" t="str">
        <f aca="false">IF($M99="","",IF(INDEX(Log!$AH:$AH,$M99)="","",INDEX(Log!$AH:$AH,$M99)))</f>
        <v/>
      </c>
      <c r="K99" s="67" t="str">
        <f aca="false">IF($M99="","",IF(INDEX(Log!$AI:$AI,$M99)="","",INDEX(Log!$AI:$AI,$M99)))</f>
        <v/>
      </c>
      <c r="L99" s="68" t="str">
        <f aca="false">IF($M99="","",IF(INDEX(Log!$AJ:$AJ,$M99)="","",INDEX(Log!$AJ:$AJ,$M99)))</f>
        <v/>
      </c>
      <c r="M99" s="68" t="str">
        <f aca="false">IFERROR(SMALL(Log!$AM$6:$AM$305,94),"")</f>
        <v/>
      </c>
    </row>
    <row r="100" customFormat="false" ht="30" hidden="false" customHeight="true" outlineLevel="0" collapsed="false">
      <c r="A100" s="64" t="str">
        <f aca="false">IF($M100="","",95)</f>
        <v/>
      </c>
      <c r="B100" s="65" t="str">
        <f aca="false">IF($M100="","",IF(INDEX(Log!$A:$A,$M100)="","",INDEX(Log!$A:$A,$M100)))</f>
        <v/>
      </c>
      <c r="C100" s="65" t="str">
        <f aca="false">IF($M100="","",IF(INDEX(Log!$B:$B,$M100)="","",INDEX(Log!$B:$B,$M100)))</f>
        <v/>
      </c>
      <c r="D100" s="66" t="str">
        <f aca="false">IF($M100="","",IF(INDEX(Log!$C:$C,$M100)="","",INDEX(Log!$C:$C,$M100)))</f>
        <v/>
      </c>
      <c r="E100" s="65" t="str">
        <f aca="false">IF($M100="","",IF(INDEX(Log!$K:$K,$M100)="","",INDEX(Log!$K:$K,$M100)))</f>
        <v/>
      </c>
      <c r="F100" s="65" t="str">
        <f aca="false">IF($M100="","",IF(INDEX(Log!$AD:$AD,$M100)="","",INDEX(Log!$AD:$AD,$M100)))</f>
        <v/>
      </c>
      <c r="G100" s="65" t="str">
        <f aca="false">IF($M100="","",IF(INDEX(Log!$AE:$AE,$M100)="","",INDEX(Log!$AE:$AE,$M100)))</f>
        <v/>
      </c>
      <c r="H100" s="65" t="str">
        <f aca="false">IF($M100="","",IF(INDEX(Log!$AF:$AF,$M100)="","",INDEX(Log!$AF:$AF,$M100)))</f>
        <v/>
      </c>
      <c r="I100" s="66" t="str">
        <f aca="false">IF($M100="","",IF(INDEX(Log!$AG:$AG,$M100)="","",INDEX(Log!$AG:$AG,$M100)))</f>
        <v/>
      </c>
      <c r="J100" s="65" t="str">
        <f aca="false">IF($M100="","",IF(INDEX(Log!$AH:$AH,$M100)="","",INDEX(Log!$AH:$AH,$M100)))</f>
        <v/>
      </c>
      <c r="K100" s="64" t="str">
        <f aca="false">IF($M100="","",IF(INDEX(Log!$AI:$AI,$M100)="","",INDEX(Log!$AI:$AI,$M100)))</f>
        <v/>
      </c>
      <c r="L100" s="65" t="str">
        <f aca="false">IF($M100="","",IF(INDEX(Log!$AJ:$AJ,$M100)="","",INDEX(Log!$AJ:$AJ,$M100)))</f>
        <v/>
      </c>
      <c r="M100" s="65" t="str">
        <f aca="false">IFERROR(SMALL(Log!$AM$6:$AM$305,95),"")</f>
        <v/>
      </c>
    </row>
    <row r="101" customFormat="false" ht="30" hidden="false" customHeight="true" outlineLevel="0" collapsed="false">
      <c r="A101" s="67" t="str">
        <f aca="false">IF($M101="","",96)</f>
        <v/>
      </c>
      <c r="B101" s="68" t="str">
        <f aca="false">IF($M101="","",IF(INDEX(Log!$A:$A,$M101)="","",INDEX(Log!$A:$A,$M101)))</f>
        <v/>
      </c>
      <c r="C101" s="68" t="str">
        <f aca="false">IF($M101="","",IF(INDEX(Log!$B:$B,$M101)="","",INDEX(Log!$B:$B,$M101)))</f>
        <v/>
      </c>
      <c r="D101" s="69" t="str">
        <f aca="false">IF($M101="","",IF(INDEX(Log!$C:$C,$M101)="","",INDEX(Log!$C:$C,$M101)))</f>
        <v/>
      </c>
      <c r="E101" s="68" t="str">
        <f aca="false">IF($M101="","",IF(INDEX(Log!$K:$K,$M101)="","",INDEX(Log!$K:$K,$M101)))</f>
        <v/>
      </c>
      <c r="F101" s="68" t="str">
        <f aca="false">IF($M101="","",IF(INDEX(Log!$AD:$AD,$M101)="","",INDEX(Log!$AD:$AD,$M101)))</f>
        <v/>
      </c>
      <c r="G101" s="68" t="str">
        <f aca="false">IF($M101="","",IF(INDEX(Log!$AE:$AE,$M101)="","",INDEX(Log!$AE:$AE,$M101)))</f>
        <v/>
      </c>
      <c r="H101" s="68" t="str">
        <f aca="false">IF($M101="","",IF(INDEX(Log!$AF:$AF,$M101)="","",INDEX(Log!$AF:$AF,$M101)))</f>
        <v/>
      </c>
      <c r="I101" s="69" t="str">
        <f aca="false">IF($M101="","",IF(INDEX(Log!$AG:$AG,$M101)="","",INDEX(Log!$AG:$AG,$M101)))</f>
        <v/>
      </c>
      <c r="J101" s="68" t="str">
        <f aca="false">IF($M101="","",IF(INDEX(Log!$AH:$AH,$M101)="","",INDEX(Log!$AH:$AH,$M101)))</f>
        <v/>
      </c>
      <c r="K101" s="67" t="str">
        <f aca="false">IF($M101="","",IF(INDEX(Log!$AI:$AI,$M101)="","",INDEX(Log!$AI:$AI,$M101)))</f>
        <v/>
      </c>
      <c r="L101" s="68" t="str">
        <f aca="false">IF($M101="","",IF(INDEX(Log!$AJ:$AJ,$M101)="","",INDEX(Log!$AJ:$AJ,$M101)))</f>
        <v/>
      </c>
      <c r="M101" s="68" t="str">
        <f aca="false">IFERROR(SMALL(Log!$AM$6:$AM$305,96),"")</f>
        <v/>
      </c>
    </row>
    <row r="102" customFormat="false" ht="30" hidden="false" customHeight="true" outlineLevel="0" collapsed="false">
      <c r="A102" s="64" t="str">
        <f aca="false">IF($M102="","",97)</f>
        <v/>
      </c>
      <c r="B102" s="65" t="str">
        <f aca="false">IF($M102="","",IF(INDEX(Log!$A:$A,$M102)="","",INDEX(Log!$A:$A,$M102)))</f>
        <v/>
      </c>
      <c r="C102" s="65" t="str">
        <f aca="false">IF($M102="","",IF(INDEX(Log!$B:$B,$M102)="","",INDEX(Log!$B:$B,$M102)))</f>
        <v/>
      </c>
      <c r="D102" s="66" t="str">
        <f aca="false">IF($M102="","",IF(INDEX(Log!$C:$C,$M102)="","",INDEX(Log!$C:$C,$M102)))</f>
        <v/>
      </c>
      <c r="E102" s="65" t="str">
        <f aca="false">IF($M102="","",IF(INDEX(Log!$K:$K,$M102)="","",INDEX(Log!$K:$K,$M102)))</f>
        <v/>
      </c>
      <c r="F102" s="65" t="str">
        <f aca="false">IF($M102="","",IF(INDEX(Log!$AD:$AD,$M102)="","",INDEX(Log!$AD:$AD,$M102)))</f>
        <v/>
      </c>
      <c r="G102" s="65" t="str">
        <f aca="false">IF($M102="","",IF(INDEX(Log!$AE:$AE,$M102)="","",INDEX(Log!$AE:$AE,$M102)))</f>
        <v/>
      </c>
      <c r="H102" s="65" t="str">
        <f aca="false">IF($M102="","",IF(INDEX(Log!$AF:$AF,$M102)="","",INDEX(Log!$AF:$AF,$M102)))</f>
        <v/>
      </c>
      <c r="I102" s="66" t="str">
        <f aca="false">IF($M102="","",IF(INDEX(Log!$AG:$AG,$M102)="","",INDEX(Log!$AG:$AG,$M102)))</f>
        <v/>
      </c>
      <c r="J102" s="65" t="str">
        <f aca="false">IF($M102="","",IF(INDEX(Log!$AH:$AH,$M102)="","",INDEX(Log!$AH:$AH,$M102)))</f>
        <v/>
      </c>
      <c r="K102" s="64" t="str">
        <f aca="false">IF($M102="","",IF(INDEX(Log!$AI:$AI,$M102)="","",INDEX(Log!$AI:$AI,$M102)))</f>
        <v/>
      </c>
      <c r="L102" s="65" t="str">
        <f aca="false">IF($M102="","",IF(INDEX(Log!$AJ:$AJ,$M102)="","",INDEX(Log!$AJ:$AJ,$M102)))</f>
        <v/>
      </c>
      <c r="M102" s="65" t="str">
        <f aca="false">IFERROR(SMALL(Log!$AM$6:$AM$305,97),"")</f>
        <v/>
      </c>
    </row>
    <row r="103" customFormat="false" ht="30" hidden="false" customHeight="true" outlineLevel="0" collapsed="false">
      <c r="A103" s="67" t="str">
        <f aca="false">IF($M103="","",98)</f>
        <v/>
      </c>
      <c r="B103" s="68" t="str">
        <f aca="false">IF($M103="","",IF(INDEX(Log!$A:$A,$M103)="","",INDEX(Log!$A:$A,$M103)))</f>
        <v/>
      </c>
      <c r="C103" s="68" t="str">
        <f aca="false">IF($M103="","",IF(INDEX(Log!$B:$B,$M103)="","",INDEX(Log!$B:$B,$M103)))</f>
        <v/>
      </c>
      <c r="D103" s="69" t="str">
        <f aca="false">IF($M103="","",IF(INDEX(Log!$C:$C,$M103)="","",INDEX(Log!$C:$C,$M103)))</f>
        <v/>
      </c>
      <c r="E103" s="68" t="str">
        <f aca="false">IF($M103="","",IF(INDEX(Log!$K:$K,$M103)="","",INDEX(Log!$K:$K,$M103)))</f>
        <v/>
      </c>
      <c r="F103" s="68" t="str">
        <f aca="false">IF($M103="","",IF(INDEX(Log!$AD:$AD,$M103)="","",INDEX(Log!$AD:$AD,$M103)))</f>
        <v/>
      </c>
      <c r="G103" s="68" t="str">
        <f aca="false">IF($M103="","",IF(INDEX(Log!$AE:$AE,$M103)="","",INDEX(Log!$AE:$AE,$M103)))</f>
        <v/>
      </c>
      <c r="H103" s="68" t="str">
        <f aca="false">IF($M103="","",IF(INDEX(Log!$AF:$AF,$M103)="","",INDEX(Log!$AF:$AF,$M103)))</f>
        <v/>
      </c>
      <c r="I103" s="69" t="str">
        <f aca="false">IF($M103="","",IF(INDEX(Log!$AG:$AG,$M103)="","",INDEX(Log!$AG:$AG,$M103)))</f>
        <v/>
      </c>
      <c r="J103" s="68" t="str">
        <f aca="false">IF($M103="","",IF(INDEX(Log!$AH:$AH,$M103)="","",INDEX(Log!$AH:$AH,$M103)))</f>
        <v/>
      </c>
      <c r="K103" s="67" t="str">
        <f aca="false">IF($M103="","",IF(INDEX(Log!$AI:$AI,$M103)="","",INDEX(Log!$AI:$AI,$M103)))</f>
        <v/>
      </c>
      <c r="L103" s="68" t="str">
        <f aca="false">IF($M103="","",IF(INDEX(Log!$AJ:$AJ,$M103)="","",INDEX(Log!$AJ:$AJ,$M103)))</f>
        <v/>
      </c>
      <c r="M103" s="68" t="str">
        <f aca="false">IFERROR(SMALL(Log!$AM$6:$AM$305,98),"")</f>
        <v/>
      </c>
    </row>
    <row r="104" customFormat="false" ht="30" hidden="false" customHeight="true" outlineLevel="0" collapsed="false">
      <c r="A104" s="64" t="str">
        <f aca="false">IF($M104="","",99)</f>
        <v/>
      </c>
      <c r="B104" s="65" t="str">
        <f aca="false">IF($M104="","",IF(INDEX(Log!$A:$A,$M104)="","",INDEX(Log!$A:$A,$M104)))</f>
        <v/>
      </c>
      <c r="C104" s="65" t="str">
        <f aca="false">IF($M104="","",IF(INDEX(Log!$B:$B,$M104)="","",INDEX(Log!$B:$B,$M104)))</f>
        <v/>
      </c>
      <c r="D104" s="66" t="str">
        <f aca="false">IF($M104="","",IF(INDEX(Log!$C:$C,$M104)="","",INDEX(Log!$C:$C,$M104)))</f>
        <v/>
      </c>
      <c r="E104" s="65" t="str">
        <f aca="false">IF($M104="","",IF(INDEX(Log!$K:$K,$M104)="","",INDEX(Log!$K:$K,$M104)))</f>
        <v/>
      </c>
      <c r="F104" s="65" t="str">
        <f aca="false">IF($M104="","",IF(INDEX(Log!$AD:$AD,$M104)="","",INDEX(Log!$AD:$AD,$M104)))</f>
        <v/>
      </c>
      <c r="G104" s="65" t="str">
        <f aca="false">IF($M104="","",IF(INDEX(Log!$AE:$AE,$M104)="","",INDEX(Log!$AE:$AE,$M104)))</f>
        <v/>
      </c>
      <c r="H104" s="65" t="str">
        <f aca="false">IF($M104="","",IF(INDEX(Log!$AF:$AF,$M104)="","",INDEX(Log!$AF:$AF,$M104)))</f>
        <v/>
      </c>
      <c r="I104" s="66" t="str">
        <f aca="false">IF($M104="","",IF(INDEX(Log!$AG:$AG,$M104)="","",INDEX(Log!$AG:$AG,$M104)))</f>
        <v/>
      </c>
      <c r="J104" s="65" t="str">
        <f aca="false">IF($M104="","",IF(INDEX(Log!$AH:$AH,$M104)="","",INDEX(Log!$AH:$AH,$M104)))</f>
        <v/>
      </c>
      <c r="K104" s="64" t="str">
        <f aca="false">IF($M104="","",IF(INDEX(Log!$AI:$AI,$M104)="","",INDEX(Log!$AI:$AI,$M104)))</f>
        <v/>
      </c>
      <c r="L104" s="65" t="str">
        <f aca="false">IF($M104="","",IF(INDEX(Log!$AJ:$AJ,$M104)="","",INDEX(Log!$AJ:$AJ,$M104)))</f>
        <v/>
      </c>
      <c r="M104" s="65" t="str">
        <f aca="false">IFERROR(SMALL(Log!$AM$6:$AM$305,99),"")</f>
        <v/>
      </c>
    </row>
    <row r="105" customFormat="false" ht="30" hidden="false" customHeight="true" outlineLevel="0" collapsed="false">
      <c r="A105" s="67" t="str">
        <f aca="false">IF($M105="","",100)</f>
        <v/>
      </c>
      <c r="B105" s="68" t="str">
        <f aca="false">IF($M105="","",IF(INDEX(Log!$A:$A,$M105)="","",INDEX(Log!$A:$A,$M105)))</f>
        <v/>
      </c>
      <c r="C105" s="68" t="str">
        <f aca="false">IF($M105="","",IF(INDEX(Log!$B:$B,$M105)="","",INDEX(Log!$B:$B,$M105)))</f>
        <v/>
      </c>
      <c r="D105" s="69" t="str">
        <f aca="false">IF($M105="","",IF(INDEX(Log!$C:$C,$M105)="","",INDEX(Log!$C:$C,$M105)))</f>
        <v/>
      </c>
      <c r="E105" s="68" t="str">
        <f aca="false">IF($M105="","",IF(INDEX(Log!$K:$K,$M105)="","",INDEX(Log!$K:$K,$M105)))</f>
        <v/>
      </c>
      <c r="F105" s="68" t="str">
        <f aca="false">IF($M105="","",IF(INDEX(Log!$AD:$AD,$M105)="","",INDEX(Log!$AD:$AD,$M105)))</f>
        <v/>
      </c>
      <c r="G105" s="68" t="str">
        <f aca="false">IF($M105="","",IF(INDEX(Log!$AE:$AE,$M105)="","",INDEX(Log!$AE:$AE,$M105)))</f>
        <v/>
      </c>
      <c r="H105" s="68" t="str">
        <f aca="false">IF($M105="","",IF(INDEX(Log!$AF:$AF,$M105)="","",INDEX(Log!$AF:$AF,$M105)))</f>
        <v/>
      </c>
      <c r="I105" s="69" t="str">
        <f aca="false">IF($M105="","",IF(INDEX(Log!$AG:$AG,$M105)="","",INDEX(Log!$AG:$AG,$M105)))</f>
        <v/>
      </c>
      <c r="J105" s="68" t="str">
        <f aca="false">IF($M105="","",IF(INDEX(Log!$AH:$AH,$M105)="","",INDEX(Log!$AH:$AH,$M105)))</f>
        <v/>
      </c>
      <c r="K105" s="67" t="str">
        <f aca="false">IF($M105="","",IF(INDEX(Log!$AI:$AI,$M105)="","",INDEX(Log!$AI:$AI,$M105)))</f>
        <v/>
      </c>
      <c r="L105" s="68" t="str">
        <f aca="false">IF($M105="","",IF(INDEX(Log!$AJ:$AJ,$M105)="","",INDEX(Log!$AJ:$AJ,$M105)))</f>
        <v/>
      </c>
      <c r="M105" s="68" t="str">
        <f aca="false">IFERROR(SMALL(Log!$AM$6:$AM$305,100),"")</f>
        <v/>
      </c>
    </row>
    <row r="106" customFormat="false" ht="30" hidden="false" customHeight="true" outlineLevel="0" collapsed="false">
      <c r="A106" s="64" t="str">
        <f aca="false">IF($M106="","",101)</f>
        <v/>
      </c>
      <c r="B106" s="65" t="str">
        <f aca="false">IF($M106="","",IF(INDEX(Log!$A:$A,$M106)="","",INDEX(Log!$A:$A,$M106)))</f>
        <v/>
      </c>
      <c r="C106" s="65" t="str">
        <f aca="false">IF($M106="","",IF(INDEX(Log!$B:$B,$M106)="","",INDEX(Log!$B:$B,$M106)))</f>
        <v/>
      </c>
      <c r="D106" s="66" t="str">
        <f aca="false">IF($M106="","",IF(INDEX(Log!$C:$C,$M106)="","",INDEX(Log!$C:$C,$M106)))</f>
        <v/>
      </c>
      <c r="E106" s="65" t="str">
        <f aca="false">IF($M106="","",IF(INDEX(Log!$K:$K,$M106)="","",INDEX(Log!$K:$K,$M106)))</f>
        <v/>
      </c>
      <c r="F106" s="65" t="str">
        <f aca="false">IF($M106="","",IF(INDEX(Log!$AD:$AD,$M106)="","",INDEX(Log!$AD:$AD,$M106)))</f>
        <v/>
      </c>
      <c r="G106" s="65" t="str">
        <f aca="false">IF($M106="","",IF(INDEX(Log!$AE:$AE,$M106)="","",INDEX(Log!$AE:$AE,$M106)))</f>
        <v/>
      </c>
      <c r="H106" s="65" t="str">
        <f aca="false">IF($M106="","",IF(INDEX(Log!$AF:$AF,$M106)="","",INDEX(Log!$AF:$AF,$M106)))</f>
        <v/>
      </c>
      <c r="I106" s="66" t="str">
        <f aca="false">IF($M106="","",IF(INDEX(Log!$AG:$AG,$M106)="","",INDEX(Log!$AG:$AG,$M106)))</f>
        <v/>
      </c>
      <c r="J106" s="65" t="str">
        <f aca="false">IF($M106="","",IF(INDEX(Log!$AH:$AH,$M106)="","",INDEX(Log!$AH:$AH,$M106)))</f>
        <v/>
      </c>
      <c r="K106" s="64" t="str">
        <f aca="false">IF($M106="","",IF(INDEX(Log!$AI:$AI,$M106)="","",INDEX(Log!$AI:$AI,$M106)))</f>
        <v/>
      </c>
      <c r="L106" s="65" t="str">
        <f aca="false">IF($M106="","",IF(INDEX(Log!$AJ:$AJ,$M106)="","",INDEX(Log!$AJ:$AJ,$M106)))</f>
        <v/>
      </c>
      <c r="M106" s="65" t="str">
        <f aca="false">IFERROR(SMALL(Log!$AM$6:$AM$305,101),"")</f>
        <v/>
      </c>
    </row>
    <row r="107" customFormat="false" ht="30" hidden="false" customHeight="true" outlineLevel="0" collapsed="false">
      <c r="A107" s="67" t="str">
        <f aca="false">IF($M107="","",102)</f>
        <v/>
      </c>
      <c r="B107" s="68" t="str">
        <f aca="false">IF($M107="","",IF(INDEX(Log!$A:$A,$M107)="","",INDEX(Log!$A:$A,$M107)))</f>
        <v/>
      </c>
      <c r="C107" s="68" t="str">
        <f aca="false">IF($M107="","",IF(INDEX(Log!$B:$B,$M107)="","",INDEX(Log!$B:$B,$M107)))</f>
        <v/>
      </c>
      <c r="D107" s="69" t="str">
        <f aca="false">IF($M107="","",IF(INDEX(Log!$C:$C,$M107)="","",INDEX(Log!$C:$C,$M107)))</f>
        <v/>
      </c>
      <c r="E107" s="68" t="str">
        <f aca="false">IF($M107="","",IF(INDEX(Log!$K:$K,$M107)="","",INDEX(Log!$K:$K,$M107)))</f>
        <v/>
      </c>
      <c r="F107" s="68" t="str">
        <f aca="false">IF($M107="","",IF(INDEX(Log!$AD:$AD,$M107)="","",INDEX(Log!$AD:$AD,$M107)))</f>
        <v/>
      </c>
      <c r="G107" s="68" t="str">
        <f aca="false">IF($M107="","",IF(INDEX(Log!$AE:$AE,$M107)="","",INDEX(Log!$AE:$AE,$M107)))</f>
        <v/>
      </c>
      <c r="H107" s="68" t="str">
        <f aca="false">IF($M107="","",IF(INDEX(Log!$AF:$AF,$M107)="","",INDEX(Log!$AF:$AF,$M107)))</f>
        <v/>
      </c>
      <c r="I107" s="69" t="str">
        <f aca="false">IF($M107="","",IF(INDEX(Log!$AG:$AG,$M107)="","",INDEX(Log!$AG:$AG,$M107)))</f>
        <v/>
      </c>
      <c r="J107" s="68" t="str">
        <f aca="false">IF($M107="","",IF(INDEX(Log!$AH:$AH,$M107)="","",INDEX(Log!$AH:$AH,$M107)))</f>
        <v/>
      </c>
      <c r="K107" s="67" t="str">
        <f aca="false">IF($M107="","",IF(INDEX(Log!$AI:$AI,$M107)="","",INDEX(Log!$AI:$AI,$M107)))</f>
        <v/>
      </c>
      <c r="L107" s="68" t="str">
        <f aca="false">IF($M107="","",IF(INDEX(Log!$AJ:$AJ,$M107)="","",INDEX(Log!$AJ:$AJ,$M107)))</f>
        <v/>
      </c>
      <c r="M107" s="68" t="str">
        <f aca="false">IFERROR(SMALL(Log!$AM$6:$AM$305,102),"")</f>
        <v/>
      </c>
    </row>
    <row r="108" customFormat="false" ht="30" hidden="false" customHeight="true" outlineLevel="0" collapsed="false">
      <c r="A108" s="64" t="str">
        <f aca="false">IF($M108="","",103)</f>
        <v/>
      </c>
      <c r="B108" s="65" t="str">
        <f aca="false">IF($M108="","",IF(INDEX(Log!$A:$A,$M108)="","",INDEX(Log!$A:$A,$M108)))</f>
        <v/>
      </c>
      <c r="C108" s="65" t="str">
        <f aca="false">IF($M108="","",IF(INDEX(Log!$B:$B,$M108)="","",INDEX(Log!$B:$B,$M108)))</f>
        <v/>
      </c>
      <c r="D108" s="66" t="str">
        <f aca="false">IF($M108="","",IF(INDEX(Log!$C:$C,$M108)="","",INDEX(Log!$C:$C,$M108)))</f>
        <v/>
      </c>
      <c r="E108" s="65" t="str">
        <f aca="false">IF($M108="","",IF(INDEX(Log!$K:$K,$M108)="","",INDEX(Log!$K:$K,$M108)))</f>
        <v/>
      </c>
      <c r="F108" s="65" t="str">
        <f aca="false">IF($M108="","",IF(INDEX(Log!$AD:$AD,$M108)="","",INDEX(Log!$AD:$AD,$M108)))</f>
        <v/>
      </c>
      <c r="G108" s="65" t="str">
        <f aca="false">IF($M108="","",IF(INDEX(Log!$AE:$AE,$M108)="","",INDEX(Log!$AE:$AE,$M108)))</f>
        <v/>
      </c>
      <c r="H108" s="65" t="str">
        <f aca="false">IF($M108="","",IF(INDEX(Log!$AF:$AF,$M108)="","",INDEX(Log!$AF:$AF,$M108)))</f>
        <v/>
      </c>
      <c r="I108" s="66" t="str">
        <f aca="false">IF($M108="","",IF(INDEX(Log!$AG:$AG,$M108)="","",INDEX(Log!$AG:$AG,$M108)))</f>
        <v/>
      </c>
      <c r="J108" s="65" t="str">
        <f aca="false">IF($M108="","",IF(INDEX(Log!$AH:$AH,$M108)="","",INDEX(Log!$AH:$AH,$M108)))</f>
        <v/>
      </c>
      <c r="K108" s="64" t="str">
        <f aca="false">IF($M108="","",IF(INDEX(Log!$AI:$AI,$M108)="","",INDEX(Log!$AI:$AI,$M108)))</f>
        <v/>
      </c>
      <c r="L108" s="65" t="str">
        <f aca="false">IF($M108="","",IF(INDEX(Log!$AJ:$AJ,$M108)="","",INDEX(Log!$AJ:$AJ,$M108)))</f>
        <v/>
      </c>
      <c r="M108" s="65" t="str">
        <f aca="false">IFERROR(SMALL(Log!$AM$6:$AM$305,103),"")</f>
        <v/>
      </c>
    </row>
    <row r="109" customFormat="false" ht="30" hidden="false" customHeight="true" outlineLevel="0" collapsed="false">
      <c r="A109" s="67" t="str">
        <f aca="false">IF($M109="","",104)</f>
        <v/>
      </c>
      <c r="B109" s="68" t="str">
        <f aca="false">IF($M109="","",IF(INDEX(Log!$A:$A,$M109)="","",INDEX(Log!$A:$A,$M109)))</f>
        <v/>
      </c>
      <c r="C109" s="68" t="str">
        <f aca="false">IF($M109="","",IF(INDEX(Log!$B:$B,$M109)="","",INDEX(Log!$B:$B,$M109)))</f>
        <v/>
      </c>
      <c r="D109" s="69" t="str">
        <f aca="false">IF($M109="","",IF(INDEX(Log!$C:$C,$M109)="","",INDEX(Log!$C:$C,$M109)))</f>
        <v/>
      </c>
      <c r="E109" s="68" t="str">
        <f aca="false">IF($M109="","",IF(INDEX(Log!$K:$K,$M109)="","",INDEX(Log!$K:$K,$M109)))</f>
        <v/>
      </c>
      <c r="F109" s="68" t="str">
        <f aca="false">IF($M109="","",IF(INDEX(Log!$AD:$AD,$M109)="","",INDEX(Log!$AD:$AD,$M109)))</f>
        <v/>
      </c>
      <c r="G109" s="68" t="str">
        <f aca="false">IF($M109="","",IF(INDEX(Log!$AE:$AE,$M109)="","",INDEX(Log!$AE:$AE,$M109)))</f>
        <v/>
      </c>
      <c r="H109" s="68" t="str">
        <f aca="false">IF($M109="","",IF(INDEX(Log!$AF:$AF,$M109)="","",INDEX(Log!$AF:$AF,$M109)))</f>
        <v/>
      </c>
      <c r="I109" s="69" t="str">
        <f aca="false">IF($M109="","",IF(INDEX(Log!$AG:$AG,$M109)="","",INDEX(Log!$AG:$AG,$M109)))</f>
        <v/>
      </c>
      <c r="J109" s="68" t="str">
        <f aca="false">IF($M109="","",IF(INDEX(Log!$AH:$AH,$M109)="","",INDEX(Log!$AH:$AH,$M109)))</f>
        <v/>
      </c>
      <c r="K109" s="67" t="str">
        <f aca="false">IF($M109="","",IF(INDEX(Log!$AI:$AI,$M109)="","",INDEX(Log!$AI:$AI,$M109)))</f>
        <v/>
      </c>
      <c r="L109" s="68" t="str">
        <f aca="false">IF($M109="","",IF(INDEX(Log!$AJ:$AJ,$M109)="","",INDEX(Log!$AJ:$AJ,$M109)))</f>
        <v/>
      </c>
      <c r="M109" s="68" t="str">
        <f aca="false">IFERROR(SMALL(Log!$AM$6:$AM$305,104),"")</f>
        <v/>
      </c>
    </row>
    <row r="110" customFormat="false" ht="30" hidden="false" customHeight="true" outlineLevel="0" collapsed="false">
      <c r="A110" s="64" t="str">
        <f aca="false">IF($M110="","",105)</f>
        <v/>
      </c>
      <c r="B110" s="65" t="str">
        <f aca="false">IF($M110="","",IF(INDEX(Log!$A:$A,$M110)="","",INDEX(Log!$A:$A,$M110)))</f>
        <v/>
      </c>
      <c r="C110" s="65" t="str">
        <f aca="false">IF($M110="","",IF(INDEX(Log!$B:$B,$M110)="","",INDEX(Log!$B:$B,$M110)))</f>
        <v/>
      </c>
      <c r="D110" s="66" t="str">
        <f aca="false">IF($M110="","",IF(INDEX(Log!$C:$C,$M110)="","",INDEX(Log!$C:$C,$M110)))</f>
        <v/>
      </c>
      <c r="E110" s="65" t="str">
        <f aca="false">IF($M110="","",IF(INDEX(Log!$K:$K,$M110)="","",INDEX(Log!$K:$K,$M110)))</f>
        <v/>
      </c>
      <c r="F110" s="65" t="str">
        <f aca="false">IF($M110="","",IF(INDEX(Log!$AD:$AD,$M110)="","",INDEX(Log!$AD:$AD,$M110)))</f>
        <v/>
      </c>
      <c r="G110" s="65" t="str">
        <f aca="false">IF($M110="","",IF(INDEX(Log!$AE:$AE,$M110)="","",INDEX(Log!$AE:$AE,$M110)))</f>
        <v/>
      </c>
      <c r="H110" s="65" t="str">
        <f aca="false">IF($M110="","",IF(INDEX(Log!$AF:$AF,$M110)="","",INDEX(Log!$AF:$AF,$M110)))</f>
        <v/>
      </c>
      <c r="I110" s="66" t="str">
        <f aca="false">IF($M110="","",IF(INDEX(Log!$AG:$AG,$M110)="","",INDEX(Log!$AG:$AG,$M110)))</f>
        <v/>
      </c>
      <c r="J110" s="65" t="str">
        <f aca="false">IF($M110="","",IF(INDEX(Log!$AH:$AH,$M110)="","",INDEX(Log!$AH:$AH,$M110)))</f>
        <v/>
      </c>
      <c r="K110" s="64" t="str">
        <f aca="false">IF($M110="","",IF(INDEX(Log!$AI:$AI,$M110)="","",INDEX(Log!$AI:$AI,$M110)))</f>
        <v/>
      </c>
      <c r="L110" s="65" t="str">
        <f aca="false">IF($M110="","",IF(INDEX(Log!$AJ:$AJ,$M110)="","",INDEX(Log!$AJ:$AJ,$M110)))</f>
        <v/>
      </c>
      <c r="M110" s="65" t="str">
        <f aca="false">IFERROR(SMALL(Log!$AM$6:$AM$305,105),"")</f>
        <v/>
      </c>
    </row>
    <row r="111" customFormat="false" ht="30" hidden="false" customHeight="true" outlineLevel="0" collapsed="false">
      <c r="A111" s="67" t="str">
        <f aca="false">IF($M111="","",106)</f>
        <v/>
      </c>
      <c r="B111" s="68" t="str">
        <f aca="false">IF($M111="","",IF(INDEX(Log!$A:$A,$M111)="","",INDEX(Log!$A:$A,$M111)))</f>
        <v/>
      </c>
      <c r="C111" s="68" t="str">
        <f aca="false">IF($M111="","",IF(INDEX(Log!$B:$B,$M111)="","",INDEX(Log!$B:$B,$M111)))</f>
        <v/>
      </c>
      <c r="D111" s="69" t="str">
        <f aca="false">IF($M111="","",IF(INDEX(Log!$C:$C,$M111)="","",INDEX(Log!$C:$C,$M111)))</f>
        <v/>
      </c>
      <c r="E111" s="68" t="str">
        <f aca="false">IF($M111="","",IF(INDEX(Log!$K:$K,$M111)="","",INDEX(Log!$K:$K,$M111)))</f>
        <v/>
      </c>
      <c r="F111" s="68" t="str">
        <f aca="false">IF($M111="","",IF(INDEX(Log!$AD:$AD,$M111)="","",INDEX(Log!$AD:$AD,$M111)))</f>
        <v/>
      </c>
      <c r="G111" s="68" t="str">
        <f aca="false">IF($M111="","",IF(INDEX(Log!$AE:$AE,$M111)="","",INDEX(Log!$AE:$AE,$M111)))</f>
        <v/>
      </c>
      <c r="H111" s="68" t="str">
        <f aca="false">IF($M111="","",IF(INDEX(Log!$AF:$AF,$M111)="","",INDEX(Log!$AF:$AF,$M111)))</f>
        <v/>
      </c>
      <c r="I111" s="69" t="str">
        <f aca="false">IF($M111="","",IF(INDEX(Log!$AG:$AG,$M111)="","",INDEX(Log!$AG:$AG,$M111)))</f>
        <v/>
      </c>
      <c r="J111" s="68" t="str">
        <f aca="false">IF($M111="","",IF(INDEX(Log!$AH:$AH,$M111)="","",INDEX(Log!$AH:$AH,$M111)))</f>
        <v/>
      </c>
      <c r="K111" s="67" t="str">
        <f aca="false">IF($M111="","",IF(INDEX(Log!$AI:$AI,$M111)="","",INDEX(Log!$AI:$AI,$M111)))</f>
        <v/>
      </c>
      <c r="L111" s="68" t="str">
        <f aca="false">IF($M111="","",IF(INDEX(Log!$AJ:$AJ,$M111)="","",INDEX(Log!$AJ:$AJ,$M111)))</f>
        <v/>
      </c>
      <c r="M111" s="68" t="str">
        <f aca="false">IFERROR(SMALL(Log!$AM$6:$AM$305,106),"")</f>
        <v/>
      </c>
    </row>
    <row r="112" customFormat="false" ht="30" hidden="false" customHeight="true" outlineLevel="0" collapsed="false">
      <c r="A112" s="64" t="str">
        <f aca="false">IF($M112="","",107)</f>
        <v/>
      </c>
      <c r="B112" s="65" t="str">
        <f aca="false">IF($M112="","",IF(INDEX(Log!$A:$A,$M112)="","",INDEX(Log!$A:$A,$M112)))</f>
        <v/>
      </c>
      <c r="C112" s="65" t="str">
        <f aca="false">IF($M112="","",IF(INDEX(Log!$B:$B,$M112)="","",INDEX(Log!$B:$B,$M112)))</f>
        <v/>
      </c>
      <c r="D112" s="66" t="str">
        <f aca="false">IF($M112="","",IF(INDEX(Log!$C:$C,$M112)="","",INDEX(Log!$C:$C,$M112)))</f>
        <v/>
      </c>
      <c r="E112" s="65" t="str">
        <f aca="false">IF($M112="","",IF(INDEX(Log!$K:$K,$M112)="","",INDEX(Log!$K:$K,$M112)))</f>
        <v/>
      </c>
      <c r="F112" s="65" t="str">
        <f aca="false">IF($M112="","",IF(INDEX(Log!$AD:$AD,$M112)="","",INDEX(Log!$AD:$AD,$M112)))</f>
        <v/>
      </c>
      <c r="G112" s="65" t="str">
        <f aca="false">IF($M112="","",IF(INDEX(Log!$AE:$AE,$M112)="","",INDEX(Log!$AE:$AE,$M112)))</f>
        <v/>
      </c>
      <c r="H112" s="65" t="str">
        <f aca="false">IF($M112="","",IF(INDEX(Log!$AF:$AF,$M112)="","",INDEX(Log!$AF:$AF,$M112)))</f>
        <v/>
      </c>
      <c r="I112" s="66" t="str">
        <f aca="false">IF($M112="","",IF(INDEX(Log!$AG:$AG,$M112)="","",INDEX(Log!$AG:$AG,$M112)))</f>
        <v/>
      </c>
      <c r="J112" s="65" t="str">
        <f aca="false">IF($M112="","",IF(INDEX(Log!$AH:$AH,$M112)="","",INDEX(Log!$AH:$AH,$M112)))</f>
        <v/>
      </c>
      <c r="K112" s="64" t="str">
        <f aca="false">IF($M112="","",IF(INDEX(Log!$AI:$AI,$M112)="","",INDEX(Log!$AI:$AI,$M112)))</f>
        <v/>
      </c>
      <c r="L112" s="65" t="str">
        <f aca="false">IF($M112="","",IF(INDEX(Log!$AJ:$AJ,$M112)="","",INDEX(Log!$AJ:$AJ,$M112)))</f>
        <v/>
      </c>
      <c r="M112" s="65" t="str">
        <f aca="false">IFERROR(SMALL(Log!$AM$6:$AM$305,107),"")</f>
        <v/>
      </c>
    </row>
    <row r="113" customFormat="false" ht="30" hidden="false" customHeight="true" outlineLevel="0" collapsed="false">
      <c r="A113" s="67" t="str">
        <f aca="false">IF($M113="","",108)</f>
        <v/>
      </c>
      <c r="B113" s="68" t="str">
        <f aca="false">IF($M113="","",IF(INDEX(Log!$A:$A,$M113)="","",INDEX(Log!$A:$A,$M113)))</f>
        <v/>
      </c>
      <c r="C113" s="68" t="str">
        <f aca="false">IF($M113="","",IF(INDEX(Log!$B:$B,$M113)="","",INDEX(Log!$B:$B,$M113)))</f>
        <v/>
      </c>
      <c r="D113" s="69" t="str">
        <f aca="false">IF($M113="","",IF(INDEX(Log!$C:$C,$M113)="","",INDEX(Log!$C:$C,$M113)))</f>
        <v/>
      </c>
      <c r="E113" s="68" t="str">
        <f aca="false">IF($M113="","",IF(INDEX(Log!$K:$K,$M113)="","",INDEX(Log!$K:$K,$M113)))</f>
        <v/>
      </c>
      <c r="F113" s="68" t="str">
        <f aca="false">IF($M113="","",IF(INDEX(Log!$AD:$AD,$M113)="","",INDEX(Log!$AD:$AD,$M113)))</f>
        <v/>
      </c>
      <c r="G113" s="68" t="str">
        <f aca="false">IF($M113="","",IF(INDEX(Log!$AE:$AE,$M113)="","",INDEX(Log!$AE:$AE,$M113)))</f>
        <v/>
      </c>
      <c r="H113" s="68" t="str">
        <f aca="false">IF($M113="","",IF(INDEX(Log!$AF:$AF,$M113)="","",INDEX(Log!$AF:$AF,$M113)))</f>
        <v/>
      </c>
      <c r="I113" s="69" t="str">
        <f aca="false">IF($M113="","",IF(INDEX(Log!$AG:$AG,$M113)="","",INDEX(Log!$AG:$AG,$M113)))</f>
        <v/>
      </c>
      <c r="J113" s="68" t="str">
        <f aca="false">IF($M113="","",IF(INDEX(Log!$AH:$AH,$M113)="","",INDEX(Log!$AH:$AH,$M113)))</f>
        <v/>
      </c>
      <c r="K113" s="67" t="str">
        <f aca="false">IF($M113="","",IF(INDEX(Log!$AI:$AI,$M113)="","",INDEX(Log!$AI:$AI,$M113)))</f>
        <v/>
      </c>
      <c r="L113" s="68" t="str">
        <f aca="false">IF($M113="","",IF(INDEX(Log!$AJ:$AJ,$M113)="","",INDEX(Log!$AJ:$AJ,$M113)))</f>
        <v/>
      </c>
      <c r="M113" s="68" t="str">
        <f aca="false">IFERROR(SMALL(Log!$AM$6:$AM$305,108),"")</f>
        <v/>
      </c>
    </row>
    <row r="114" customFormat="false" ht="30" hidden="false" customHeight="true" outlineLevel="0" collapsed="false">
      <c r="A114" s="64" t="str">
        <f aca="false">IF($M114="","",109)</f>
        <v/>
      </c>
      <c r="B114" s="65" t="str">
        <f aca="false">IF($M114="","",IF(INDEX(Log!$A:$A,$M114)="","",INDEX(Log!$A:$A,$M114)))</f>
        <v/>
      </c>
      <c r="C114" s="65" t="str">
        <f aca="false">IF($M114="","",IF(INDEX(Log!$B:$B,$M114)="","",INDEX(Log!$B:$B,$M114)))</f>
        <v/>
      </c>
      <c r="D114" s="66" t="str">
        <f aca="false">IF($M114="","",IF(INDEX(Log!$C:$C,$M114)="","",INDEX(Log!$C:$C,$M114)))</f>
        <v/>
      </c>
      <c r="E114" s="65" t="str">
        <f aca="false">IF($M114="","",IF(INDEX(Log!$K:$K,$M114)="","",INDEX(Log!$K:$K,$M114)))</f>
        <v/>
      </c>
      <c r="F114" s="65" t="str">
        <f aca="false">IF($M114="","",IF(INDEX(Log!$AD:$AD,$M114)="","",INDEX(Log!$AD:$AD,$M114)))</f>
        <v/>
      </c>
      <c r="G114" s="65" t="str">
        <f aca="false">IF($M114="","",IF(INDEX(Log!$AE:$AE,$M114)="","",INDEX(Log!$AE:$AE,$M114)))</f>
        <v/>
      </c>
      <c r="H114" s="65" t="str">
        <f aca="false">IF($M114="","",IF(INDEX(Log!$AF:$AF,$M114)="","",INDEX(Log!$AF:$AF,$M114)))</f>
        <v/>
      </c>
      <c r="I114" s="66" t="str">
        <f aca="false">IF($M114="","",IF(INDEX(Log!$AG:$AG,$M114)="","",INDEX(Log!$AG:$AG,$M114)))</f>
        <v/>
      </c>
      <c r="J114" s="65" t="str">
        <f aca="false">IF($M114="","",IF(INDEX(Log!$AH:$AH,$M114)="","",INDEX(Log!$AH:$AH,$M114)))</f>
        <v/>
      </c>
      <c r="K114" s="64" t="str">
        <f aca="false">IF($M114="","",IF(INDEX(Log!$AI:$AI,$M114)="","",INDEX(Log!$AI:$AI,$M114)))</f>
        <v/>
      </c>
      <c r="L114" s="65" t="str">
        <f aca="false">IF($M114="","",IF(INDEX(Log!$AJ:$AJ,$M114)="","",INDEX(Log!$AJ:$AJ,$M114)))</f>
        <v/>
      </c>
      <c r="M114" s="65" t="str">
        <f aca="false">IFERROR(SMALL(Log!$AM$6:$AM$305,109),"")</f>
        <v/>
      </c>
    </row>
    <row r="115" customFormat="false" ht="30" hidden="false" customHeight="true" outlineLevel="0" collapsed="false">
      <c r="A115" s="67" t="str">
        <f aca="false">IF($M115="","",110)</f>
        <v/>
      </c>
      <c r="B115" s="68" t="str">
        <f aca="false">IF($M115="","",IF(INDEX(Log!$A:$A,$M115)="","",INDEX(Log!$A:$A,$M115)))</f>
        <v/>
      </c>
      <c r="C115" s="68" t="str">
        <f aca="false">IF($M115="","",IF(INDEX(Log!$B:$B,$M115)="","",INDEX(Log!$B:$B,$M115)))</f>
        <v/>
      </c>
      <c r="D115" s="69" t="str">
        <f aca="false">IF($M115="","",IF(INDEX(Log!$C:$C,$M115)="","",INDEX(Log!$C:$C,$M115)))</f>
        <v/>
      </c>
      <c r="E115" s="68" t="str">
        <f aca="false">IF($M115="","",IF(INDEX(Log!$K:$K,$M115)="","",INDEX(Log!$K:$K,$M115)))</f>
        <v/>
      </c>
      <c r="F115" s="68" t="str">
        <f aca="false">IF($M115="","",IF(INDEX(Log!$AD:$AD,$M115)="","",INDEX(Log!$AD:$AD,$M115)))</f>
        <v/>
      </c>
      <c r="G115" s="68" t="str">
        <f aca="false">IF($M115="","",IF(INDEX(Log!$AE:$AE,$M115)="","",INDEX(Log!$AE:$AE,$M115)))</f>
        <v/>
      </c>
      <c r="H115" s="68" t="str">
        <f aca="false">IF($M115="","",IF(INDEX(Log!$AF:$AF,$M115)="","",INDEX(Log!$AF:$AF,$M115)))</f>
        <v/>
      </c>
      <c r="I115" s="69" t="str">
        <f aca="false">IF($M115="","",IF(INDEX(Log!$AG:$AG,$M115)="","",INDEX(Log!$AG:$AG,$M115)))</f>
        <v/>
      </c>
      <c r="J115" s="68" t="str">
        <f aca="false">IF($M115="","",IF(INDEX(Log!$AH:$AH,$M115)="","",INDEX(Log!$AH:$AH,$M115)))</f>
        <v/>
      </c>
      <c r="K115" s="67" t="str">
        <f aca="false">IF($M115="","",IF(INDEX(Log!$AI:$AI,$M115)="","",INDEX(Log!$AI:$AI,$M115)))</f>
        <v/>
      </c>
      <c r="L115" s="68" t="str">
        <f aca="false">IF($M115="","",IF(INDEX(Log!$AJ:$AJ,$M115)="","",INDEX(Log!$AJ:$AJ,$M115)))</f>
        <v/>
      </c>
      <c r="M115" s="68" t="str">
        <f aca="false">IFERROR(SMALL(Log!$AM$6:$AM$305,110),"")</f>
        <v/>
      </c>
    </row>
    <row r="116" customFormat="false" ht="30" hidden="false" customHeight="true" outlineLevel="0" collapsed="false">
      <c r="A116" s="64" t="str">
        <f aca="false">IF($M116="","",111)</f>
        <v/>
      </c>
      <c r="B116" s="65" t="str">
        <f aca="false">IF($M116="","",IF(INDEX(Log!$A:$A,$M116)="","",INDEX(Log!$A:$A,$M116)))</f>
        <v/>
      </c>
      <c r="C116" s="65" t="str">
        <f aca="false">IF($M116="","",IF(INDEX(Log!$B:$B,$M116)="","",INDEX(Log!$B:$B,$M116)))</f>
        <v/>
      </c>
      <c r="D116" s="66" t="str">
        <f aca="false">IF($M116="","",IF(INDEX(Log!$C:$C,$M116)="","",INDEX(Log!$C:$C,$M116)))</f>
        <v/>
      </c>
      <c r="E116" s="65" t="str">
        <f aca="false">IF($M116="","",IF(INDEX(Log!$K:$K,$M116)="","",INDEX(Log!$K:$K,$M116)))</f>
        <v/>
      </c>
      <c r="F116" s="65" t="str">
        <f aca="false">IF($M116="","",IF(INDEX(Log!$AD:$AD,$M116)="","",INDEX(Log!$AD:$AD,$M116)))</f>
        <v/>
      </c>
      <c r="G116" s="65" t="str">
        <f aca="false">IF($M116="","",IF(INDEX(Log!$AE:$AE,$M116)="","",INDEX(Log!$AE:$AE,$M116)))</f>
        <v/>
      </c>
      <c r="H116" s="65" t="str">
        <f aca="false">IF($M116="","",IF(INDEX(Log!$AF:$AF,$M116)="","",INDEX(Log!$AF:$AF,$M116)))</f>
        <v/>
      </c>
      <c r="I116" s="66" t="str">
        <f aca="false">IF($M116="","",IF(INDEX(Log!$AG:$AG,$M116)="","",INDEX(Log!$AG:$AG,$M116)))</f>
        <v/>
      </c>
      <c r="J116" s="65" t="str">
        <f aca="false">IF($M116="","",IF(INDEX(Log!$AH:$AH,$M116)="","",INDEX(Log!$AH:$AH,$M116)))</f>
        <v/>
      </c>
      <c r="K116" s="64" t="str">
        <f aca="false">IF($M116="","",IF(INDEX(Log!$AI:$AI,$M116)="","",INDEX(Log!$AI:$AI,$M116)))</f>
        <v/>
      </c>
      <c r="L116" s="65" t="str">
        <f aca="false">IF($M116="","",IF(INDEX(Log!$AJ:$AJ,$M116)="","",INDEX(Log!$AJ:$AJ,$M116)))</f>
        <v/>
      </c>
      <c r="M116" s="65" t="str">
        <f aca="false">IFERROR(SMALL(Log!$AM$6:$AM$305,111),"")</f>
        <v/>
      </c>
    </row>
    <row r="117" customFormat="false" ht="30" hidden="false" customHeight="true" outlineLevel="0" collapsed="false">
      <c r="A117" s="67" t="str">
        <f aca="false">IF($M117="","",112)</f>
        <v/>
      </c>
      <c r="B117" s="68" t="str">
        <f aca="false">IF($M117="","",IF(INDEX(Log!$A:$A,$M117)="","",INDEX(Log!$A:$A,$M117)))</f>
        <v/>
      </c>
      <c r="C117" s="68" t="str">
        <f aca="false">IF($M117="","",IF(INDEX(Log!$B:$B,$M117)="","",INDEX(Log!$B:$B,$M117)))</f>
        <v/>
      </c>
      <c r="D117" s="69" t="str">
        <f aca="false">IF($M117="","",IF(INDEX(Log!$C:$C,$M117)="","",INDEX(Log!$C:$C,$M117)))</f>
        <v/>
      </c>
      <c r="E117" s="68" t="str">
        <f aca="false">IF($M117="","",IF(INDEX(Log!$K:$K,$M117)="","",INDEX(Log!$K:$K,$M117)))</f>
        <v/>
      </c>
      <c r="F117" s="68" t="str">
        <f aca="false">IF($M117="","",IF(INDEX(Log!$AD:$AD,$M117)="","",INDEX(Log!$AD:$AD,$M117)))</f>
        <v/>
      </c>
      <c r="G117" s="68" t="str">
        <f aca="false">IF($M117="","",IF(INDEX(Log!$AE:$AE,$M117)="","",INDEX(Log!$AE:$AE,$M117)))</f>
        <v/>
      </c>
      <c r="H117" s="68" t="str">
        <f aca="false">IF($M117="","",IF(INDEX(Log!$AF:$AF,$M117)="","",INDEX(Log!$AF:$AF,$M117)))</f>
        <v/>
      </c>
      <c r="I117" s="69" t="str">
        <f aca="false">IF($M117="","",IF(INDEX(Log!$AG:$AG,$M117)="","",INDEX(Log!$AG:$AG,$M117)))</f>
        <v/>
      </c>
      <c r="J117" s="68" t="str">
        <f aca="false">IF($M117="","",IF(INDEX(Log!$AH:$AH,$M117)="","",INDEX(Log!$AH:$AH,$M117)))</f>
        <v/>
      </c>
      <c r="K117" s="67" t="str">
        <f aca="false">IF($M117="","",IF(INDEX(Log!$AI:$AI,$M117)="","",INDEX(Log!$AI:$AI,$M117)))</f>
        <v/>
      </c>
      <c r="L117" s="68" t="str">
        <f aca="false">IF($M117="","",IF(INDEX(Log!$AJ:$AJ,$M117)="","",INDEX(Log!$AJ:$AJ,$M117)))</f>
        <v/>
      </c>
      <c r="M117" s="68" t="str">
        <f aca="false">IFERROR(SMALL(Log!$AM$6:$AM$305,112),"")</f>
        <v/>
      </c>
    </row>
    <row r="118" customFormat="false" ht="30" hidden="false" customHeight="true" outlineLevel="0" collapsed="false">
      <c r="A118" s="64" t="str">
        <f aca="false">IF($M118="","",113)</f>
        <v/>
      </c>
      <c r="B118" s="65" t="str">
        <f aca="false">IF($M118="","",IF(INDEX(Log!$A:$A,$M118)="","",INDEX(Log!$A:$A,$M118)))</f>
        <v/>
      </c>
      <c r="C118" s="65" t="str">
        <f aca="false">IF($M118="","",IF(INDEX(Log!$B:$B,$M118)="","",INDEX(Log!$B:$B,$M118)))</f>
        <v/>
      </c>
      <c r="D118" s="66" t="str">
        <f aca="false">IF($M118="","",IF(INDEX(Log!$C:$C,$M118)="","",INDEX(Log!$C:$C,$M118)))</f>
        <v/>
      </c>
      <c r="E118" s="65" t="str">
        <f aca="false">IF($M118="","",IF(INDEX(Log!$K:$K,$M118)="","",INDEX(Log!$K:$K,$M118)))</f>
        <v/>
      </c>
      <c r="F118" s="65" t="str">
        <f aca="false">IF($M118="","",IF(INDEX(Log!$AD:$AD,$M118)="","",INDEX(Log!$AD:$AD,$M118)))</f>
        <v/>
      </c>
      <c r="G118" s="65" t="str">
        <f aca="false">IF($M118="","",IF(INDEX(Log!$AE:$AE,$M118)="","",INDEX(Log!$AE:$AE,$M118)))</f>
        <v/>
      </c>
      <c r="H118" s="65" t="str">
        <f aca="false">IF($M118="","",IF(INDEX(Log!$AF:$AF,$M118)="","",INDEX(Log!$AF:$AF,$M118)))</f>
        <v/>
      </c>
      <c r="I118" s="66" t="str">
        <f aca="false">IF($M118="","",IF(INDEX(Log!$AG:$AG,$M118)="","",INDEX(Log!$AG:$AG,$M118)))</f>
        <v/>
      </c>
      <c r="J118" s="65" t="str">
        <f aca="false">IF($M118="","",IF(INDEX(Log!$AH:$AH,$M118)="","",INDEX(Log!$AH:$AH,$M118)))</f>
        <v/>
      </c>
      <c r="K118" s="64" t="str">
        <f aca="false">IF($M118="","",IF(INDEX(Log!$AI:$AI,$M118)="","",INDEX(Log!$AI:$AI,$M118)))</f>
        <v/>
      </c>
      <c r="L118" s="65" t="str">
        <f aca="false">IF($M118="","",IF(INDEX(Log!$AJ:$AJ,$M118)="","",INDEX(Log!$AJ:$AJ,$M118)))</f>
        <v/>
      </c>
      <c r="M118" s="65" t="str">
        <f aca="false">IFERROR(SMALL(Log!$AM$6:$AM$305,113),"")</f>
        <v/>
      </c>
    </row>
    <row r="119" customFormat="false" ht="30" hidden="false" customHeight="true" outlineLevel="0" collapsed="false">
      <c r="A119" s="67" t="str">
        <f aca="false">IF($M119="","",114)</f>
        <v/>
      </c>
      <c r="B119" s="68" t="str">
        <f aca="false">IF($M119="","",IF(INDEX(Log!$A:$A,$M119)="","",INDEX(Log!$A:$A,$M119)))</f>
        <v/>
      </c>
      <c r="C119" s="68" t="str">
        <f aca="false">IF($M119="","",IF(INDEX(Log!$B:$B,$M119)="","",INDEX(Log!$B:$B,$M119)))</f>
        <v/>
      </c>
      <c r="D119" s="69" t="str">
        <f aca="false">IF($M119="","",IF(INDEX(Log!$C:$C,$M119)="","",INDEX(Log!$C:$C,$M119)))</f>
        <v/>
      </c>
      <c r="E119" s="68" t="str">
        <f aca="false">IF($M119="","",IF(INDEX(Log!$K:$K,$M119)="","",INDEX(Log!$K:$K,$M119)))</f>
        <v/>
      </c>
      <c r="F119" s="68" t="str">
        <f aca="false">IF($M119="","",IF(INDEX(Log!$AD:$AD,$M119)="","",INDEX(Log!$AD:$AD,$M119)))</f>
        <v/>
      </c>
      <c r="G119" s="68" t="str">
        <f aca="false">IF($M119="","",IF(INDEX(Log!$AE:$AE,$M119)="","",INDEX(Log!$AE:$AE,$M119)))</f>
        <v/>
      </c>
      <c r="H119" s="68" t="str">
        <f aca="false">IF($M119="","",IF(INDEX(Log!$AF:$AF,$M119)="","",INDEX(Log!$AF:$AF,$M119)))</f>
        <v/>
      </c>
      <c r="I119" s="69" t="str">
        <f aca="false">IF($M119="","",IF(INDEX(Log!$AG:$AG,$M119)="","",INDEX(Log!$AG:$AG,$M119)))</f>
        <v/>
      </c>
      <c r="J119" s="68" t="str">
        <f aca="false">IF($M119="","",IF(INDEX(Log!$AH:$AH,$M119)="","",INDEX(Log!$AH:$AH,$M119)))</f>
        <v/>
      </c>
      <c r="K119" s="67" t="str">
        <f aca="false">IF($M119="","",IF(INDEX(Log!$AI:$AI,$M119)="","",INDEX(Log!$AI:$AI,$M119)))</f>
        <v/>
      </c>
      <c r="L119" s="68" t="str">
        <f aca="false">IF($M119="","",IF(INDEX(Log!$AJ:$AJ,$M119)="","",INDEX(Log!$AJ:$AJ,$M119)))</f>
        <v/>
      </c>
      <c r="M119" s="68" t="str">
        <f aca="false">IFERROR(SMALL(Log!$AM$6:$AM$305,114),"")</f>
        <v/>
      </c>
    </row>
    <row r="120" customFormat="false" ht="30" hidden="false" customHeight="true" outlineLevel="0" collapsed="false">
      <c r="A120" s="64" t="str">
        <f aca="false">IF($M120="","",115)</f>
        <v/>
      </c>
      <c r="B120" s="65" t="str">
        <f aca="false">IF($M120="","",IF(INDEX(Log!$A:$A,$M120)="","",INDEX(Log!$A:$A,$M120)))</f>
        <v/>
      </c>
      <c r="C120" s="65" t="str">
        <f aca="false">IF($M120="","",IF(INDEX(Log!$B:$B,$M120)="","",INDEX(Log!$B:$B,$M120)))</f>
        <v/>
      </c>
      <c r="D120" s="66" t="str">
        <f aca="false">IF($M120="","",IF(INDEX(Log!$C:$C,$M120)="","",INDEX(Log!$C:$C,$M120)))</f>
        <v/>
      </c>
      <c r="E120" s="65" t="str">
        <f aca="false">IF($M120="","",IF(INDEX(Log!$K:$K,$M120)="","",INDEX(Log!$K:$K,$M120)))</f>
        <v/>
      </c>
      <c r="F120" s="65" t="str">
        <f aca="false">IF($M120="","",IF(INDEX(Log!$AD:$AD,$M120)="","",INDEX(Log!$AD:$AD,$M120)))</f>
        <v/>
      </c>
      <c r="G120" s="65" t="str">
        <f aca="false">IF($M120="","",IF(INDEX(Log!$AE:$AE,$M120)="","",INDEX(Log!$AE:$AE,$M120)))</f>
        <v/>
      </c>
      <c r="H120" s="65" t="str">
        <f aca="false">IF($M120="","",IF(INDEX(Log!$AF:$AF,$M120)="","",INDEX(Log!$AF:$AF,$M120)))</f>
        <v/>
      </c>
      <c r="I120" s="66" t="str">
        <f aca="false">IF($M120="","",IF(INDEX(Log!$AG:$AG,$M120)="","",INDEX(Log!$AG:$AG,$M120)))</f>
        <v/>
      </c>
      <c r="J120" s="65" t="str">
        <f aca="false">IF($M120="","",IF(INDEX(Log!$AH:$AH,$M120)="","",INDEX(Log!$AH:$AH,$M120)))</f>
        <v/>
      </c>
      <c r="K120" s="64" t="str">
        <f aca="false">IF($M120="","",IF(INDEX(Log!$AI:$AI,$M120)="","",INDEX(Log!$AI:$AI,$M120)))</f>
        <v/>
      </c>
      <c r="L120" s="65" t="str">
        <f aca="false">IF($M120="","",IF(INDEX(Log!$AJ:$AJ,$M120)="","",INDEX(Log!$AJ:$AJ,$M120)))</f>
        <v/>
      </c>
      <c r="M120" s="65" t="str">
        <f aca="false">IFERROR(SMALL(Log!$AM$6:$AM$305,115),"")</f>
        <v/>
      </c>
    </row>
    <row r="121" customFormat="false" ht="30" hidden="false" customHeight="true" outlineLevel="0" collapsed="false">
      <c r="A121" s="67" t="str">
        <f aca="false">IF($M121="","",116)</f>
        <v/>
      </c>
      <c r="B121" s="68" t="str">
        <f aca="false">IF($M121="","",IF(INDEX(Log!$A:$A,$M121)="","",INDEX(Log!$A:$A,$M121)))</f>
        <v/>
      </c>
      <c r="C121" s="68" t="str">
        <f aca="false">IF($M121="","",IF(INDEX(Log!$B:$B,$M121)="","",INDEX(Log!$B:$B,$M121)))</f>
        <v/>
      </c>
      <c r="D121" s="69" t="str">
        <f aca="false">IF($M121="","",IF(INDEX(Log!$C:$C,$M121)="","",INDEX(Log!$C:$C,$M121)))</f>
        <v/>
      </c>
      <c r="E121" s="68" t="str">
        <f aca="false">IF($M121="","",IF(INDEX(Log!$K:$K,$M121)="","",INDEX(Log!$K:$K,$M121)))</f>
        <v/>
      </c>
      <c r="F121" s="68" t="str">
        <f aca="false">IF($M121="","",IF(INDEX(Log!$AD:$AD,$M121)="","",INDEX(Log!$AD:$AD,$M121)))</f>
        <v/>
      </c>
      <c r="G121" s="68" t="str">
        <f aca="false">IF($M121="","",IF(INDEX(Log!$AE:$AE,$M121)="","",INDEX(Log!$AE:$AE,$M121)))</f>
        <v/>
      </c>
      <c r="H121" s="68" t="str">
        <f aca="false">IF($M121="","",IF(INDEX(Log!$AF:$AF,$M121)="","",INDEX(Log!$AF:$AF,$M121)))</f>
        <v/>
      </c>
      <c r="I121" s="69" t="str">
        <f aca="false">IF($M121="","",IF(INDEX(Log!$AG:$AG,$M121)="","",INDEX(Log!$AG:$AG,$M121)))</f>
        <v/>
      </c>
      <c r="J121" s="68" t="str">
        <f aca="false">IF($M121="","",IF(INDEX(Log!$AH:$AH,$M121)="","",INDEX(Log!$AH:$AH,$M121)))</f>
        <v/>
      </c>
      <c r="K121" s="67" t="str">
        <f aca="false">IF($M121="","",IF(INDEX(Log!$AI:$AI,$M121)="","",INDEX(Log!$AI:$AI,$M121)))</f>
        <v/>
      </c>
      <c r="L121" s="68" t="str">
        <f aca="false">IF($M121="","",IF(INDEX(Log!$AJ:$AJ,$M121)="","",INDEX(Log!$AJ:$AJ,$M121)))</f>
        <v/>
      </c>
      <c r="M121" s="68" t="str">
        <f aca="false">IFERROR(SMALL(Log!$AM$6:$AM$305,116),"")</f>
        <v/>
      </c>
    </row>
    <row r="122" customFormat="false" ht="30" hidden="false" customHeight="true" outlineLevel="0" collapsed="false">
      <c r="A122" s="64" t="str">
        <f aca="false">IF($M122="","",117)</f>
        <v/>
      </c>
      <c r="B122" s="65" t="str">
        <f aca="false">IF($M122="","",IF(INDEX(Log!$A:$A,$M122)="","",INDEX(Log!$A:$A,$M122)))</f>
        <v/>
      </c>
      <c r="C122" s="65" t="str">
        <f aca="false">IF($M122="","",IF(INDEX(Log!$B:$B,$M122)="","",INDEX(Log!$B:$B,$M122)))</f>
        <v/>
      </c>
      <c r="D122" s="66" t="str">
        <f aca="false">IF($M122="","",IF(INDEX(Log!$C:$C,$M122)="","",INDEX(Log!$C:$C,$M122)))</f>
        <v/>
      </c>
      <c r="E122" s="65" t="str">
        <f aca="false">IF($M122="","",IF(INDEX(Log!$K:$K,$M122)="","",INDEX(Log!$K:$K,$M122)))</f>
        <v/>
      </c>
      <c r="F122" s="65" t="str">
        <f aca="false">IF($M122="","",IF(INDEX(Log!$AD:$AD,$M122)="","",INDEX(Log!$AD:$AD,$M122)))</f>
        <v/>
      </c>
      <c r="G122" s="65" t="str">
        <f aca="false">IF($M122="","",IF(INDEX(Log!$AE:$AE,$M122)="","",INDEX(Log!$AE:$AE,$M122)))</f>
        <v/>
      </c>
      <c r="H122" s="65" t="str">
        <f aca="false">IF($M122="","",IF(INDEX(Log!$AF:$AF,$M122)="","",INDEX(Log!$AF:$AF,$M122)))</f>
        <v/>
      </c>
      <c r="I122" s="66" t="str">
        <f aca="false">IF($M122="","",IF(INDEX(Log!$AG:$AG,$M122)="","",INDEX(Log!$AG:$AG,$M122)))</f>
        <v/>
      </c>
      <c r="J122" s="65" t="str">
        <f aca="false">IF($M122="","",IF(INDEX(Log!$AH:$AH,$M122)="","",INDEX(Log!$AH:$AH,$M122)))</f>
        <v/>
      </c>
      <c r="K122" s="64" t="str">
        <f aca="false">IF($M122="","",IF(INDEX(Log!$AI:$AI,$M122)="","",INDEX(Log!$AI:$AI,$M122)))</f>
        <v/>
      </c>
      <c r="L122" s="65" t="str">
        <f aca="false">IF($M122="","",IF(INDEX(Log!$AJ:$AJ,$M122)="","",INDEX(Log!$AJ:$AJ,$M122)))</f>
        <v/>
      </c>
      <c r="M122" s="65" t="str">
        <f aca="false">IFERROR(SMALL(Log!$AM$6:$AM$305,117),"")</f>
        <v/>
      </c>
    </row>
    <row r="123" customFormat="false" ht="30" hidden="false" customHeight="true" outlineLevel="0" collapsed="false">
      <c r="A123" s="67" t="str">
        <f aca="false">IF($M123="","",118)</f>
        <v/>
      </c>
      <c r="B123" s="68" t="str">
        <f aca="false">IF($M123="","",IF(INDEX(Log!$A:$A,$M123)="","",INDEX(Log!$A:$A,$M123)))</f>
        <v/>
      </c>
      <c r="C123" s="68" t="str">
        <f aca="false">IF($M123="","",IF(INDEX(Log!$B:$B,$M123)="","",INDEX(Log!$B:$B,$M123)))</f>
        <v/>
      </c>
      <c r="D123" s="69" t="str">
        <f aca="false">IF($M123="","",IF(INDEX(Log!$C:$C,$M123)="","",INDEX(Log!$C:$C,$M123)))</f>
        <v/>
      </c>
      <c r="E123" s="68" t="str">
        <f aca="false">IF($M123="","",IF(INDEX(Log!$K:$K,$M123)="","",INDEX(Log!$K:$K,$M123)))</f>
        <v/>
      </c>
      <c r="F123" s="68" t="str">
        <f aca="false">IF($M123="","",IF(INDEX(Log!$AD:$AD,$M123)="","",INDEX(Log!$AD:$AD,$M123)))</f>
        <v/>
      </c>
      <c r="G123" s="68" t="str">
        <f aca="false">IF($M123="","",IF(INDEX(Log!$AE:$AE,$M123)="","",INDEX(Log!$AE:$AE,$M123)))</f>
        <v/>
      </c>
      <c r="H123" s="68" t="str">
        <f aca="false">IF($M123="","",IF(INDEX(Log!$AF:$AF,$M123)="","",INDEX(Log!$AF:$AF,$M123)))</f>
        <v/>
      </c>
      <c r="I123" s="69" t="str">
        <f aca="false">IF($M123="","",IF(INDEX(Log!$AG:$AG,$M123)="","",INDEX(Log!$AG:$AG,$M123)))</f>
        <v/>
      </c>
      <c r="J123" s="68" t="str">
        <f aca="false">IF($M123="","",IF(INDEX(Log!$AH:$AH,$M123)="","",INDEX(Log!$AH:$AH,$M123)))</f>
        <v/>
      </c>
      <c r="K123" s="67" t="str">
        <f aca="false">IF($M123="","",IF(INDEX(Log!$AI:$AI,$M123)="","",INDEX(Log!$AI:$AI,$M123)))</f>
        <v/>
      </c>
      <c r="L123" s="68" t="str">
        <f aca="false">IF($M123="","",IF(INDEX(Log!$AJ:$AJ,$M123)="","",INDEX(Log!$AJ:$AJ,$M123)))</f>
        <v/>
      </c>
      <c r="M123" s="68" t="str">
        <f aca="false">IFERROR(SMALL(Log!$AM$6:$AM$305,118),"")</f>
        <v/>
      </c>
    </row>
    <row r="124" customFormat="false" ht="30" hidden="false" customHeight="true" outlineLevel="0" collapsed="false">
      <c r="A124" s="64" t="str">
        <f aca="false">IF($M124="","",119)</f>
        <v/>
      </c>
      <c r="B124" s="65" t="str">
        <f aca="false">IF($M124="","",IF(INDEX(Log!$A:$A,$M124)="","",INDEX(Log!$A:$A,$M124)))</f>
        <v/>
      </c>
      <c r="C124" s="65" t="str">
        <f aca="false">IF($M124="","",IF(INDEX(Log!$B:$B,$M124)="","",INDEX(Log!$B:$B,$M124)))</f>
        <v/>
      </c>
      <c r="D124" s="66" t="str">
        <f aca="false">IF($M124="","",IF(INDEX(Log!$C:$C,$M124)="","",INDEX(Log!$C:$C,$M124)))</f>
        <v/>
      </c>
      <c r="E124" s="65" t="str">
        <f aca="false">IF($M124="","",IF(INDEX(Log!$K:$K,$M124)="","",INDEX(Log!$K:$K,$M124)))</f>
        <v/>
      </c>
      <c r="F124" s="65" t="str">
        <f aca="false">IF($M124="","",IF(INDEX(Log!$AD:$AD,$M124)="","",INDEX(Log!$AD:$AD,$M124)))</f>
        <v/>
      </c>
      <c r="G124" s="65" t="str">
        <f aca="false">IF($M124="","",IF(INDEX(Log!$AE:$AE,$M124)="","",INDEX(Log!$AE:$AE,$M124)))</f>
        <v/>
      </c>
      <c r="H124" s="65" t="str">
        <f aca="false">IF($M124="","",IF(INDEX(Log!$AF:$AF,$M124)="","",INDEX(Log!$AF:$AF,$M124)))</f>
        <v/>
      </c>
      <c r="I124" s="66" t="str">
        <f aca="false">IF($M124="","",IF(INDEX(Log!$AG:$AG,$M124)="","",INDEX(Log!$AG:$AG,$M124)))</f>
        <v/>
      </c>
      <c r="J124" s="65" t="str">
        <f aca="false">IF($M124="","",IF(INDEX(Log!$AH:$AH,$M124)="","",INDEX(Log!$AH:$AH,$M124)))</f>
        <v/>
      </c>
      <c r="K124" s="64" t="str">
        <f aca="false">IF($M124="","",IF(INDEX(Log!$AI:$AI,$M124)="","",INDEX(Log!$AI:$AI,$M124)))</f>
        <v/>
      </c>
      <c r="L124" s="65" t="str">
        <f aca="false">IF($M124="","",IF(INDEX(Log!$AJ:$AJ,$M124)="","",INDEX(Log!$AJ:$AJ,$M124)))</f>
        <v/>
      </c>
      <c r="M124" s="65" t="str">
        <f aca="false">IFERROR(SMALL(Log!$AM$6:$AM$305,119),"")</f>
        <v/>
      </c>
    </row>
    <row r="125" customFormat="false" ht="30" hidden="false" customHeight="true" outlineLevel="0" collapsed="false">
      <c r="A125" s="67" t="str">
        <f aca="false">IF($M125="","",120)</f>
        <v/>
      </c>
      <c r="B125" s="68" t="str">
        <f aca="false">IF($M125="","",IF(INDEX(Log!$A:$A,$M125)="","",INDEX(Log!$A:$A,$M125)))</f>
        <v/>
      </c>
      <c r="C125" s="68" t="str">
        <f aca="false">IF($M125="","",IF(INDEX(Log!$B:$B,$M125)="","",INDEX(Log!$B:$B,$M125)))</f>
        <v/>
      </c>
      <c r="D125" s="69" t="str">
        <f aca="false">IF($M125="","",IF(INDEX(Log!$C:$C,$M125)="","",INDEX(Log!$C:$C,$M125)))</f>
        <v/>
      </c>
      <c r="E125" s="68" t="str">
        <f aca="false">IF($M125="","",IF(INDEX(Log!$K:$K,$M125)="","",INDEX(Log!$K:$K,$M125)))</f>
        <v/>
      </c>
      <c r="F125" s="68" t="str">
        <f aca="false">IF($M125="","",IF(INDEX(Log!$AD:$AD,$M125)="","",INDEX(Log!$AD:$AD,$M125)))</f>
        <v/>
      </c>
      <c r="G125" s="68" t="str">
        <f aca="false">IF($M125="","",IF(INDEX(Log!$AE:$AE,$M125)="","",INDEX(Log!$AE:$AE,$M125)))</f>
        <v/>
      </c>
      <c r="H125" s="68" t="str">
        <f aca="false">IF($M125="","",IF(INDEX(Log!$AF:$AF,$M125)="","",INDEX(Log!$AF:$AF,$M125)))</f>
        <v/>
      </c>
      <c r="I125" s="69" t="str">
        <f aca="false">IF($M125="","",IF(INDEX(Log!$AG:$AG,$M125)="","",INDEX(Log!$AG:$AG,$M125)))</f>
        <v/>
      </c>
      <c r="J125" s="68" t="str">
        <f aca="false">IF($M125="","",IF(INDEX(Log!$AH:$AH,$M125)="","",INDEX(Log!$AH:$AH,$M125)))</f>
        <v/>
      </c>
      <c r="K125" s="67" t="str">
        <f aca="false">IF($M125="","",IF(INDEX(Log!$AI:$AI,$M125)="","",INDEX(Log!$AI:$AI,$M125)))</f>
        <v/>
      </c>
      <c r="L125" s="68" t="str">
        <f aca="false">IF($M125="","",IF(INDEX(Log!$AJ:$AJ,$M125)="","",INDEX(Log!$AJ:$AJ,$M125)))</f>
        <v/>
      </c>
      <c r="M125" s="68" t="str">
        <f aca="false">IFERROR(SMALL(Log!$AM$6:$AM$305,120),"")</f>
        <v/>
      </c>
    </row>
    <row r="126" customFormat="false" ht="30" hidden="false" customHeight="true" outlineLevel="0" collapsed="false">
      <c r="A126" s="64" t="str">
        <f aca="false">IF($M126="","",121)</f>
        <v/>
      </c>
      <c r="B126" s="65" t="str">
        <f aca="false">IF($M126="","",IF(INDEX(Log!$A:$A,$M126)="","",INDEX(Log!$A:$A,$M126)))</f>
        <v/>
      </c>
      <c r="C126" s="65" t="str">
        <f aca="false">IF($M126="","",IF(INDEX(Log!$B:$B,$M126)="","",INDEX(Log!$B:$B,$M126)))</f>
        <v/>
      </c>
      <c r="D126" s="66" t="str">
        <f aca="false">IF($M126="","",IF(INDEX(Log!$C:$C,$M126)="","",INDEX(Log!$C:$C,$M126)))</f>
        <v/>
      </c>
      <c r="E126" s="65" t="str">
        <f aca="false">IF($M126="","",IF(INDEX(Log!$K:$K,$M126)="","",INDEX(Log!$K:$K,$M126)))</f>
        <v/>
      </c>
      <c r="F126" s="65" t="str">
        <f aca="false">IF($M126="","",IF(INDEX(Log!$AD:$AD,$M126)="","",INDEX(Log!$AD:$AD,$M126)))</f>
        <v/>
      </c>
      <c r="G126" s="65" t="str">
        <f aca="false">IF($M126="","",IF(INDEX(Log!$AE:$AE,$M126)="","",INDEX(Log!$AE:$AE,$M126)))</f>
        <v/>
      </c>
      <c r="H126" s="65" t="str">
        <f aca="false">IF($M126="","",IF(INDEX(Log!$AF:$AF,$M126)="","",INDEX(Log!$AF:$AF,$M126)))</f>
        <v/>
      </c>
      <c r="I126" s="66" t="str">
        <f aca="false">IF($M126="","",IF(INDEX(Log!$AG:$AG,$M126)="","",INDEX(Log!$AG:$AG,$M126)))</f>
        <v/>
      </c>
      <c r="J126" s="65" t="str">
        <f aca="false">IF($M126="","",IF(INDEX(Log!$AH:$AH,$M126)="","",INDEX(Log!$AH:$AH,$M126)))</f>
        <v/>
      </c>
      <c r="K126" s="64" t="str">
        <f aca="false">IF($M126="","",IF(INDEX(Log!$AI:$AI,$M126)="","",INDEX(Log!$AI:$AI,$M126)))</f>
        <v/>
      </c>
      <c r="L126" s="65" t="str">
        <f aca="false">IF($M126="","",IF(INDEX(Log!$AJ:$AJ,$M126)="","",INDEX(Log!$AJ:$AJ,$M126)))</f>
        <v/>
      </c>
      <c r="M126" s="65" t="str">
        <f aca="false">IFERROR(SMALL(Log!$AM$6:$AM$305,121),"")</f>
        <v/>
      </c>
    </row>
    <row r="127" customFormat="false" ht="30" hidden="false" customHeight="true" outlineLevel="0" collapsed="false">
      <c r="A127" s="67" t="str">
        <f aca="false">IF($M127="","",122)</f>
        <v/>
      </c>
      <c r="B127" s="68" t="str">
        <f aca="false">IF($M127="","",IF(INDEX(Log!$A:$A,$M127)="","",INDEX(Log!$A:$A,$M127)))</f>
        <v/>
      </c>
      <c r="C127" s="68" t="str">
        <f aca="false">IF($M127="","",IF(INDEX(Log!$B:$B,$M127)="","",INDEX(Log!$B:$B,$M127)))</f>
        <v/>
      </c>
      <c r="D127" s="69" t="str">
        <f aca="false">IF($M127="","",IF(INDEX(Log!$C:$C,$M127)="","",INDEX(Log!$C:$C,$M127)))</f>
        <v/>
      </c>
      <c r="E127" s="68" t="str">
        <f aca="false">IF($M127="","",IF(INDEX(Log!$K:$K,$M127)="","",INDEX(Log!$K:$K,$M127)))</f>
        <v/>
      </c>
      <c r="F127" s="68" t="str">
        <f aca="false">IF($M127="","",IF(INDEX(Log!$AD:$AD,$M127)="","",INDEX(Log!$AD:$AD,$M127)))</f>
        <v/>
      </c>
      <c r="G127" s="68" t="str">
        <f aca="false">IF($M127="","",IF(INDEX(Log!$AE:$AE,$M127)="","",INDEX(Log!$AE:$AE,$M127)))</f>
        <v/>
      </c>
      <c r="H127" s="68" t="str">
        <f aca="false">IF($M127="","",IF(INDEX(Log!$AF:$AF,$M127)="","",INDEX(Log!$AF:$AF,$M127)))</f>
        <v/>
      </c>
      <c r="I127" s="69" t="str">
        <f aca="false">IF($M127="","",IF(INDEX(Log!$AG:$AG,$M127)="","",INDEX(Log!$AG:$AG,$M127)))</f>
        <v/>
      </c>
      <c r="J127" s="68" t="str">
        <f aca="false">IF($M127="","",IF(INDEX(Log!$AH:$AH,$M127)="","",INDEX(Log!$AH:$AH,$M127)))</f>
        <v/>
      </c>
      <c r="K127" s="67" t="str">
        <f aca="false">IF($M127="","",IF(INDEX(Log!$AI:$AI,$M127)="","",INDEX(Log!$AI:$AI,$M127)))</f>
        <v/>
      </c>
      <c r="L127" s="68" t="str">
        <f aca="false">IF($M127="","",IF(INDEX(Log!$AJ:$AJ,$M127)="","",INDEX(Log!$AJ:$AJ,$M127)))</f>
        <v/>
      </c>
      <c r="M127" s="68" t="str">
        <f aca="false">IFERROR(SMALL(Log!$AM$6:$AM$305,122),"")</f>
        <v/>
      </c>
    </row>
    <row r="128" customFormat="false" ht="30" hidden="false" customHeight="true" outlineLevel="0" collapsed="false">
      <c r="A128" s="64" t="str">
        <f aca="false">IF($M128="","",123)</f>
        <v/>
      </c>
      <c r="B128" s="65" t="str">
        <f aca="false">IF($M128="","",IF(INDEX(Log!$A:$A,$M128)="","",INDEX(Log!$A:$A,$M128)))</f>
        <v/>
      </c>
      <c r="C128" s="65" t="str">
        <f aca="false">IF($M128="","",IF(INDEX(Log!$B:$B,$M128)="","",INDEX(Log!$B:$B,$M128)))</f>
        <v/>
      </c>
      <c r="D128" s="66" t="str">
        <f aca="false">IF($M128="","",IF(INDEX(Log!$C:$C,$M128)="","",INDEX(Log!$C:$C,$M128)))</f>
        <v/>
      </c>
      <c r="E128" s="65" t="str">
        <f aca="false">IF($M128="","",IF(INDEX(Log!$K:$K,$M128)="","",INDEX(Log!$K:$K,$M128)))</f>
        <v/>
      </c>
      <c r="F128" s="65" t="str">
        <f aca="false">IF($M128="","",IF(INDEX(Log!$AD:$AD,$M128)="","",INDEX(Log!$AD:$AD,$M128)))</f>
        <v/>
      </c>
      <c r="G128" s="65" t="str">
        <f aca="false">IF($M128="","",IF(INDEX(Log!$AE:$AE,$M128)="","",INDEX(Log!$AE:$AE,$M128)))</f>
        <v/>
      </c>
      <c r="H128" s="65" t="str">
        <f aca="false">IF($M128="","",IF(INDEX(Log!$AF:$AF,$M128)="","",INDEX(Log!$AF:$AF,$M128)))</f>
        <v/>
      </c>
      <c r="I128" s="66" t="str">
        <f aca="false">IF($M128="","",IF(INDEX(Log!$AG:$AG,$M128)="","",INDEX(Log!$AG:$AG,$M128)))</f>
        <v/>
      </c>
      <c r="J128" s="65" t="str">
        <f aca="false">IF($M128="","",IF(INDEX(Log!$AH:$AH,$M128)="","",INDEX(Log!$AH:$AH,$M128)))</f>
        <v/>
      </c>
      <c r="K128" s="64" t="str">
        <f aca="false">IF($M128="","",IF(INDEX(Log!$AI:$AI,$M128)="","",INDEX(Log!$AI:$AI,$M128)))</f>
        <v/>
      </c>
      <c r="L128" s="65" t="str">
        <f aca="false">IF($M128="","",IF(INDEX(Log!$AJ:$AJ,$M128)="","",INDEX(Log!$AJ:$AJ,$M128)))</f>
        <v/>
      </c>
      <c r="M128" s="65" t="str">
        <f aca="false">IFERROR(SMALL(Log!$AM$6:$AM$305,123),"")</f>
        <v/>
      </c>
    </row>
    <row r="129" customFormat="false" ht="30" hidden="false" customHeight="true" outlineLevel="0" collapsed="false">
      <c r="A129" s="67" t="str">
        <f aca="false">IF($M129="","",124)</f>
        <v/>
      </c>
      <c r="B129" s="68" t="str">
        <f aca="false">IF($M129="","",IF(INDEX(Log!$A:$A,$M129)="","",INDEX(Log!$A:$A,$M129)))</f>
        <v/>
      </c>
      <c r="C129" s="68" t="str">
        <f aca="false">IF($M129="","",IF(INDEX(Log!$B:$B,$M129)="","",INDEX(Log!$B:$B,$M129)))</f>
        <v/>
      </c>
      <c r="D129" s="69" t="str">
        <f aca="false">IF($M129="","",IF(INDEX(Log!$C:$C,$M129)="","",INDEX(Log!$C:$C,$M129)))</f>
        <v/>
      </c>
      <c r="E129" s="68" t="str">
        <f aca="false">IF($M129="","",IF(INDEX(Log!$K:$K,$M129)="","",INDEX(Log!$K:$K,$M129)))</f>
        <v/>
      </c>
      <c r="F129" s="68" t="str">
        <f aca="false">IF($M129="","",IF(INDEX(Log!$AD:$AD,$M129)="","",INDEX(Log!$AD:$AD,$M129)))</f>
        <v/>
      </c>
      <c r="G129" s="68" t="str">
        <f aca="false">IF($M129="","",IF(INDEX(Log!$AE:$AE,$M129)="","",INDEX(Log!$AE:$AE,$M129)))</f>
        <v/>
      </c>
      <c r="H129" s="68" t="str">
        <f aca="false">IF($M129="","",IF(INDEX(Log!$AF:$AF,$M129)="","",INDEX(Log!$AF:$AF,$M129)))</f>
        <v/>
      </c>
      <c r="I129" s="69" t="str">
        <f aca="false">IF($M129="","",IF(INDEX(Log!$AG:$AG,$M129)="","",INDEX(Log!$AG:$AG,$M129)))</f>
        <v/>
      </c>
      <c r="J129" s="68" t="str">
        <f aca="false">IF($M129="","",IF(INDEX(Log!$AH:$AH,$M129)="","",INDEX(Log!$AH:$AH,$M129)))</f>
        <v/>
      </c>
      <c r="K129" s="67" t="str">
        <f aca="false">IF($M129="","",IF(INDEX(Log!$AI:$AI,$M129)="","",INDEX(Log!$AI:$AI,$M129)))</f>
        <v/>
      </c>
      <c r="L129" s="68" t="str">
        <f aca="false">IF($M129="","",IF(INDEX(Log!$AJ:$AJ,$M129)="","",INDEX(Log!$AJ:$AJ,$M129)))</f>
        <v/>
      </c>
      <c r="M129" s="68" t="str">
        <f aca="false">IFERROR(SMALL(Log!$AM$6:$AM$305,124),"")</f>
        <v/>
      </c>
    </row>
    <row r="130" customFormat="false" ht="30" hidden="false" customHeight="true" outlineLevel="0" collapsed="false">
      <c r="A130" s="64" t="str">
        <f aca="false">IF($M130="","",125)</f>
        <v/>
      </c>
      <c r="B130" s="65" t="str">
        <f aca="false">IF($M130="","",IF(INDEX(Log!$A:$A,$M130)="","",INDEX(Log!$A:$A,$M130)))</f>
        <v/>
      </c>
      <c r="C130" s="65" t="str">
        <f aca="false">IF($M130="","",IF(INDEX(Log!$B:$B,$M130)="","",INDEX(Log!$B:$B,$M130)))</f>
        <v/>
      </c>
      <c r="D130" s="66" t="str">
        <f aca="false">IF($M130="","",IF(INDEX(Log!$C:$C,$M130)="","",INDEX(Log!$C:$C,$M130)))</f>
        <v/>
      </c>
      <c r="E130" s="65" t="str">
        <f aca="false">IF($M130="","",IF(INDEX(Log!$K:$K,$M130)="","",INDEX(Log!$K:$K,$M130)))</f>
        <v/>
      </c>
      <c r="F130" s="65" t="str">
        <f aca="false">IF($M130="","",IF(INDEX(Log!$AD:$AD,$M130)="","",INDEX(Log!$AD:$AD,$M130)))</f>
        <v/>
      </c>
      <c r="G130" s="65" t="str">
        <f aca="false">IF($M130="","",IF(INDEX(Log!$AE:$AE,$M130)="","",INDEX(Log!$AE:$AE,$M130)))</f>
        <v/>
      </c>
      <c r="H130" s="65" t="str">
        <f aca="false">IF($M130="","",IF(INDEX(Log!$AF:$AF,$M130)="","",INDEX(Log!$AF:$AF,$M130)))</f>
        <v/>
      </c>
      <c r="I130" s="66" t="str">
        <f aca="false">IF($M130="","",IF(INDEX(Log!$AG:$AG,$M130)="","",INDEX(Log!$AG:$AG,$M130)))</f>
        <v/>
      </c>
      <c r="J130" s="65" t="str">
        <f aca="false">IF($M130="","",IF(INDEX(Log!$AH:$AH,$M130)="","",INDEX(Log!$AH:$AH,$M130)))</f>
        <v/>
      </c>
      <c r="K130" s="64" t="str">
        <f aca="false">IF($M130="","",IF(INDEX(Log!$AI:$AI,$M130)="","",INDEX(Log!$AI:$AI,$M130)))</f>
        <v/>
      </c>
      <c r="L130" s="65" t="str">
        <f aca="false">IF($M130="","",IF(INDEX(Log!$AJ:$AJ,$M130)="","",INDEX(Log!$AJ:$AJ,$M130)))</f>
        <v/>
      </c>
      <c r="M130" s="65" t="str">
        <f aca="false">IFERROR(SMALL(Log!$AM$6:$AM$305,125),"")</f>
        <v/>
      </c>
    </row>
    <row r="131" customFormat="false" ht="30" hidden="false" customHeight="true" outlineLevel="0" collapsed="false">
      <c r="A131" s="67" t="str">
        <f aca="false">IF($M131="","",126)</f>
        <v/>
      </c>
      <c r="B131" s="68" t="str">
        <f aca="false">IF($M131="","",IF(INDEX(Log!$A:$A,$M131)="","",INDEX(Log!$A:$A,$M131)))</f>
        <v/>
      </c>
      <c r="C131" s="68" t="str">
        <f aca="false">IF($M131="","",IF(INDEX(Log!$B:$B,$M131)="","",INDEX(Log!$B:$B,$M131)))</f>
        <v/>
      </c>
      <c r="D131" s="69" t="str">
        <f aca="false">IF($M131="","",IF(INDEX(Log!$C:$C,$M131)="","",INDEX(Log!$C:$C,$M131)))</f>
        <v/>
      </c>
      <c r="E131" s="68" t="str">
        <f aca="false">IF($M131="","",IF(INDEX(Log!$K:$K,$M131)="","",INDEX(Log!$K:$K,$M131)))</f>
        <v/>
      </c>
      <c r="F131" s="68" t="str">
        <f aca="false">IF($M131="","",IF(INDEX(Log!$AD:$AD,$M131)="","",INDEX(Log!$AD:$AD,$M131)))</f>
        <v/>
      </c>
      <c r="G131" s="68" t="str">
        <f aca="false">IF($M131="","",IF(INDEX(Log!$AE:$AE,$M131)="","",INDEX(Log!$AE:$AE,$M131)))</f>
        <v/>
      </c>
      <c r="H131" s="68" t="str">
        <f aca="false">IF($M131="","",IF(INDEX(Log!$AF:$AF,$M131)="","",INDEX(Log!$AF:$AF,$M131)))</f>
        <v/>
      </c>
      <c r="I131" s="69" t="str">
        <f aca="false">IF($M131="","",IF(INDEX(Log!$AG:$AG,$M131)="","",INDEX(Log!$AG:$AG,$M131)))</f>
        <v/>
      </c>
      <c r="J131" s="68" t="str">
        <f aca="false">IF($M131="","",IF(INDEX(Log!$AH:$AH,$M131)="","",INDEX(Log!$AH:$AH,$M131)))</f>
        <v/>
      </c>
      <c r="K131" s="67" t="str">
        <f aca="false">IF($M131="","",IF(INDEX(Log!$AI:$AI,$M131)="","",INDEX(Log!$AI:$AI,$M131)))</f>
        <v/>
      </c>
      <c r="L131" s="68" t="str">
        <f aca="false">IF($M131="","",IF(INDEX(Log!$AJ:$AJ,$M131)="","",INDEX(Log!$AJ:$AJ,$M131)))</f>
        <v/>
      </c>
      <c r="M131" s="68" t="str">
        <f aca="false">IFERROR(SMALL(Log!$AM$6:$AM$305,126),"")</f>
        <v/>
      </c>
    </row>
    <row r="132" customFormat="false" ht="30" hidden="false" customHeight="true" outlineLevel="0" collapsed="false">
      <c r="A132" s="64" t="str">
        <f aca="false">IF($M132="","",127)</f>
        <v/>
      </c>
      <c r="B132" s="65" t="str">
        <f aca="false">IF($M132="","",IF(INDEX(Log!$A:$A,$M132)="","",INDEX(Log!$A:$A,$M132)))</f>
        <v/>
      </c>
      <c r="C132" s="65" t="str">
        <f aca="false">IF($M132="","",IF(INDEX(Log!$B:$B,$M132)="","",INDEX(Log!$B:$B,$M132)))</f>
        <v/>
      </c>
      <c r="D132" s="66" t="str">
        <f aca="false">IF($M132="","",IF(INDEX(Log!$C:$C,$M132)="","",INDEX(Log!$C:$C,$M132)))</f>
        <v/>
      </c>
      <c r="E132" s="65" t="str">
        <f aca="false">IF($M132="","",IF(INDEX(Log!$K:$K,$M132)="","",INDEX(Log!$K:$K,$M132)))</f>
        <v/>
      </c>
      <c r="F132" s="65" t="str">
        <f aca="false">IF($M132="","",IF(INDEX(Log!$AD:$AD,$M132)="","",INDEX(Log!$AD:$AD,$M132)))</f>
        <v/>
      </c>
      <c r="G132" s="65" t="str">
        <f aca="false">IF($M132="","",IF(INDEX(Log!$AE:$AE,$M132)="","",INDEX(Log!$AE:$AE,$M132)))</f>
        <v/>
      </c>
      <c r="H132" s="65" t="str">
        <f aca="false">IF($M132="","",IF(INDEX(Log!$AF:$AF,$M132)="","",INDEX(Log!$AF:$AF,$M132)))</f>
        <v/>
      </c>
      <c r="I132" s="66" t="str">
        <f aca="false">IF($M132="","",IF(INDEX(Log!$AG:$AG,$M132)="","",INDEX(Log!$AG:$AG,$M132)))</f>
        <v/>
      </c>
      <c r="J132" s="65" t="str">
        <f aca="false">IF($M132="","",IF(INDEX(Log!$AH:$AH,$M132)="","",INDEX(Log!$AH:$AH,$M132)))</f>
        <v/>
      </c>
      <c r="K132" s="64" t="str">
        <f aca="false">IF($M132="","",IF(INDEX(Log!$AI:$AI,$M132)="","",INDEX(Log!$AI:$AI,$M132)))</f>
        <v/>
      </c>
      <c r="L132" s="65" t="str">
        <f aca="false">IF($M132="","",IF(INDEX(Log!$AJ:$AJ,$M132)="","",INDEX(Log!$AJ:$AJ,$M132)))</f>
        <v/>
      </c>
      <c r="M132" s="65" t="str">
        <f aca="false">IFERROR(SMALL(Log!$AM$6:$AM$305,127),"")</f>
        <v/>
      </c>
    </row>
    <row r="133" customFormat="false" ht="30" hidden="false" customHeight="true" outlineLevel="0" collapsed="false">
      <c r="A133" s="67" t="str">
        <f aca="false">IF($M133="","",128)</f>
        <v/>
      </c>
      <c r="B133" s="68" t="str">
        <f aca="false">IF($M133="","",IF(INDEX(Log!$A:$A,$M133)="","",INDEX(Log!$A:$A,$M133)))</f>
        <v/>
      </c>
      <c r="C133" s="68" t="str">
        <f aca="false">IF($M133="","",IF(INDEX(Log!$B:$B,$M133)="","",INDEX(Log!$B:$B,$M133)))</f>
        <v/>
      </c>
      <c r="D133" s="69" t="str">
        <f aca="false">IF($M133="","",IF(INDEX(Log!$C:$C,$M133)="","",INDEX(Log!$C:$C,$M133)))</f>
        <v/>
      </c>
      <c r="E133" s="68" t="str">
        <f aca="false">IF($M133="","",IF(INDEX(Log!$K:$K,$M133)="","",INDEX(Log!$K:$K,$M133)))</f>
        <v/>
      </c>
      <c r="F133" s="68" t="str">
        <f aca="false">IF($M133="","",IF(INDEX(Log!$AD:$AD,$M133)="","",INDEX(Log!$AD:$AD,$M133)))</f>
        <v/>
      </c>
      <c r="G133" s="68" t="str">
        <f aca="false">IF($M133="","",IF(INDEX(Log!$AE:$AE,$M133)="","",INDEX(Log!$AE:$AE,$M133)))</f>
        <v/>
      </c>
      <c r="H133" s="68" t="str">
        <f aca="false">IF($M133="","",IF(INDEX(Log!$AF:$AF,$M133)="","",INDEX(Log!$AF:$AF,$M133)))</f>
        <v/>
      </c>
      <c r="I133" s="69" t="str">
        <f aca="false">IF($M133="","",IF(INDEX(Log!$AG:$AG,$M133)="","",INDEX(Log!$AG:$AG,$M133)))</f>
        <v/>
      </c>
      <c r="J133" s="68" t="str">
        <f aca="false">IF($M133="","",IF(INDEX(Log!$AH:$AH,$M133)="","",INDEX(Log!$AH:$AH,$M133)))</f>
        <v/>
      </c>
      <c r="K133" s="67" t="str">
        <f aca="false">IF($M133="","",IF(INDEX(Log!$AI:$AI,$M133)="","",INDEX(Log!$AI:$AI,$M133)))</f>
        <v/>
      </c>
      <c r="L133" s="68" t="str">
        <f aca="false">IF($M133="","",IF(INDEX(Log!$AJ:$AJ,$M133)="","",INDEX(Log!$AJ:$AJ,$M133)))</f>
        <v/>
      </c>
      <c r="M133" s="68" t="str">
        <f aca="false">IFERROR(SMALL(Log!$AM$6:$AM$305,128),"")</f>
        <v/>
      </c>
    </row>
    <row r="134" customFormat="false" ht="30" hidden="false" customHeight="true" outlineLevel="0" collapsed="false">
      <c r="A134" s="64" t="str">
        <f aca="false">IF($M134="","",129)</f>
        <v/>
      </c>
      <c r="B134" s="65" t="str">
        <f aca="false">IF($M134="","",IF(INDEX(Log!$A:$A,$M134)="","",INDEX(Log!$A:$A,$M134)))</f>
        <v/>
      </c>
      <c r="C134" s="65" t="str">
        <f aca="false">IF($M134="","",IF(INDEX(Log!$B:$B,$M134)="","",INDEX(Log!$B:$B,$M134)))</f>
        <v/>
      </c>
      <c r="D134" s="66" t="str">
        <f aca="false">IF($M134="","",IF(INDEX(Log!$C:$C,$M134)="","",INDEX(Log!$C:$C,$M134)))</f>
        <v/>
      </c>
      <c r="E134" s="65" t="str">
        <f aca="false">IF($M134="","",IF(INDEX(Log!$K:$K,$M134)="","",INDEX(Log!$K:$K,$M134)))</f>
        <v/>
      </c>
      <c r="F134" s="65" t="str">
        <f aca="false">IF($M134="","",IF(INDEX(Log!$AD:$AD,$M134)="","",INDEX(Log!$AD:$AD,$M134)))</f>
        <v/>
      </c>
      <c r="G134" s="65" t="str">
        <f aca="false">IF($M134="","",IF(INDEX(Log!$AE:$AE,$M134)="","",INDEX(Log!$AE:$AE,$M134)))</f>
        <v/>
      </c>
      <c r="H134" s="65" t="str">
        <f aca="false">IF($M134="","",IF(INDEX(Log!$AF:$AF,$M134)="","",INDEX(Log!$AF:$AF,$M134)))</f>
        <v/>
      </c>
      <c r="I134" s="66" t="str">
        <f aca="false">IF($M134="","",IF(INDEX(Log!$AG:$AG,$M134)="","",INDEX(Log!$AG:$AG,$M134)))</f>
        <v/>
      </c>
      <c r="J134" s="65" t="str">
        <f aca="false">IF($M134="","",IF(INDEX(Log!$AH:$AH,$M134)="","",INDEX(Log!$AH:$AH,$M134)))</f>
        <v/>
      </c>
      <c r="K134" s="64" t="str">
        <f aca="false">IF($M134="","",IF(INDEX(Log!$AI:$AI,$M134)="","",INDEX(Log!$AI:$AI,$M134)))</f>
        <v/>
      </c>
      <c r="L134" s="65" t="str">
        <f aca="false">IF($M134="","",IF(INDEX(Log!$AJ:$AJ,$M134)="","",INDEX(Log!$AJ:$AJ,$M134)))</f>
        <v/>
      </c>
      <c r="M134" s="65" t="str">
        <f aca="false">IFERROR(SMALL(Log!$AM$6:$AM$305,129),"")</f>
        <v/>
      </c>
    </row>
    <row r="135" customFormat="false" ht="30" hidden="false" customHeight="true" outlineLevel="0" collapsed="false">
      <c r="A135" s="67" t="str">
        <f aca="false">IF($M135="","",130)</f>
        <v/>
      </c>
      <c r="B135" s="68" t="str">
        <f aca="false">IF($M135="","",IF(INDEX(Log!$A:$A,$M135)="","",INDEX(Log!$A:$A,$M135)))</f>
        <v/>
      </c>
      <c r="C135" s="68" t="str">
        <f aca="false">IF($M135="","",IF(INDEX(Log!$B:$B,$M135)="","",INDEX(Log!$B:$B,$M135)))</f>
        <v/>
      </c>
      <c r="D135" s="69" t="str">
        <f aca="false">IF($M135="","",IF(INDEX(Log!$C:$C,$M135)="","",INDEX(Log!$C:$C,$M135)))</f>
        <v/>
      </c>
      <c r="E135" s="68" t="str">
        <f aca="false">IF($M135="","",IF(INDEX(Log!$K:$K,$M135)="","",INDEX(Log!$K:$K,$M135)))</f>
        <v/>
      </c>
      <c r="F135" s="68" t="str">
        <f aca="false">IF($M135="","",IF(INDEX(Log!$AD:$AD,$M135)="","",INDEX(Log!$AD:$AD,$M135)))</f>
        <v/>
      </c>
      <c r="G135" s="68" t="str">
        <f aca="false">IF($M135="","",IF(INDEX(Log!$AE:$AE,$M135)="","",INDEX(Log!$AE:$AE,$M135)))</f>
        <v/>
      </c>
      <c r="H135" s="68" t="str">
        <f aca="false">IF($M135="","",IF(INDEX(Log!$AF:$AF,$M135)="","",INDEX(Log!$AF:$AF,$M135)))</f>
        <v/>
      </c>
      <c r="I135" s="69" t="str">
        <f aca="false">IF($M135="","",IF(INDEX(Log!$AG:$AG,$M135)="","",INDEX(Log!$AG:$AG,$M135)))</f>
        <v/>
      </c>
      <c r="J135" s="68" t="str">
        <f aca="false">IF($M135="","",IF(INDEX(Log!$AH:$AH,$M135)="","",INDEX(Log!$AH:$AH,$M135)))</f>
        <v/>
      </c>
      <c r="K135" s="67" t="str">
        <f aca="false">IF($M135="","",IF(INDEX(Log!$AI:$AI,$M135)="","",INDEX(Log!$AI:$AI,$M135)))</f>
        <v/>
      </c>
      <c r="L135" s="68" t="str">
        <f aca="false">IF($M135="","",IF(INDEX(Log!$AJ:$AJ,$M135)="","",INDEX(Log!$AJ:$AJ,$M135)))</f>
        <v/>
      </c>
      <c r="M135" s="68" t="str">
        <f aca="false">IFERROR(SMALL(Log!$AM$6:$AM$305,130),"")</f>
        <v/>
      </c>
    </row>
    <row r="136" customFormat="false" ht="30" hidden="false" customHeight="true" outlineLevel="0" collapsed="false">
      <c r="A136" s="64" t="str">
        <f aca="false">IF($M136="","",131)</f>
        <v/>
      </c>
      <c r="B136" s="65" t="str">
        <f aca="false">IF($M136="","",IF(INDEX(Log!$A:$A,$M136)="","",INDEX(Log!$A:$A,$M136)))</f>
        <v/>
      </c>
      <c r="C136" s="65" t="str">
        <f aca="false">IF($M136="","",IF(INDEX(Log!$B:$B,$M136)="","",INDEX(Log!$B:$B,$M136)))</f>
        <v/>
      </c>
      <c r="D136" s="66" t="str">
        <f aca="false">IF($M136="","",IF(INDEX(Log!$C:$C,$M136)="","",INDEX(Log!$C:$C,$M136)))</f>
        <v/>
      </c>
      <c r="E136" s="65" t="str">
        <f aca="false">IF($M136="","",IF(INDEX(Log!$K:$K,$M136)="","",INDEX(Log!$K:$K,$M136)))</f>
        <v/>
      </c>
      <c r="F136" s="65" t="str">
        <f aca="false">IF($M136="","",IF(INDEX(Log!$AD:$AD,$M136)="","",INDEX(Log!$AD:$AD,$M136)))</f>
        <v/>
      </c>
      <c r="G136" s="65" t="str">
        <f aca="false">IF($M136="","",IF(INDEX(Log!$AE:$AE,$M136)="","",INDEX(Log!$AE:$AE,$M136)))</f>
        <v/>
      </c>
      <c r="H136" s="65" t="str">
        <f aca="false">IF($M136="","",IF(INDEX(Log!$AF:$AF,$M136)="","",INDEX(Log!$AF:$AF,$M136)))</f>
        <v/>
      </c>
      <c r="I136" s="66" t="str">
        <f aca="false">IF($M136="","",IF(INDEX(Log!$AG:$AG,$M136)="","",INDEX(Log!$AG:$AG,$M136)))</f>
        <v/>
      </c>
      <c r="J136" s="65" t="str">
        <f aca="false">IF($M136="","",IF(INDEX(Log!$AH:$AH,$M136)="","",INDEX(Log!$AH:$AH,$M136)))</f>
        <v/>
      </c>
      <c r="K136" s="64" t="str">
        <f aca="false">IF($M136="","",IF(INDEX(Log!$AI:$AI,$M136)="","",INDEX(Log!$AI:$AI,$M136)))</f>
        <v/>
      </c>
      <c r="L136" s="65" t="str">
        <f aca="false">IF($M136="","",IF(INDEX(Log!$AJ:$AJ,$M136)="","",INDEX(Log!$AJ:$AJ,$M136)))</f>
        <v/>
      </c>
      <c r="M136" s="65" t="str">
        <f aca="false">IFERROR(SMALL(Log!$AM$6:$AM$305,131),"")</f>
        <v/>
      </c>
    </row>
    <row r="137" customFormat="false" ht="30" hidden="false" customHeight="true" outlineLevel="0" collapsed="false">
      <c r="A137" s="67" t="str">
        <f aca="false">IF($M137="","",132)</f>
        <v/>
      </c>
      <c r="B137" s="68" t="str">
        <f aca="false">IF($M137="","",IF(INDEX(Log!$A:$A,$M137)="","",INDEX(Log!$A:$A,$M137)))</f>
        <v/>
      </c>
      <c r="C137" s="68" t="str">
        <f aca="false">IF($M137="","",IF(INDEX(Log!$B:$B,$M137)="","",INDEX(Log!$B:$B,$M137)))</f>
        <v/>
      </c>
      <c r="D137" s="69" t="str">
        <f aca="false">IF($M137="","",IF(INDEX(Log!$C:$C,$M137)="","",INDEX(Log!$C:$C,$M137)))</f>
        <v/>
      </c>
      <c r="E137" s="68" t="str">
        <f aca="false">IF($M137="","",IF(INDEX(Log!$K:$K,$M137)="","",INDEX(Log!$K:$K,$M137)))</f>
        <v/>
      </c>
      <c r="F137" s="68" t="str">
        <f aca="false">IF($M137="","",IF(INDEX(Log!$AD:$AD,$M137)="","",INDEX(Log!$AD:$AD,$M137)))</f>
        <v/>
      </c>
      <c r="G137" s="68" t="str">
        <f aca="false">IF($M137="","",IF(INDEX(Log!$AE:$AE,$M137)="","",INDEX(Log!$AE:$AE,$M137)))</f>
        <v/>
      </c>
      <c r="H137" s="68" t="str">
        <f aca="false">IF($M137="","",IF(INDEX(Log!$AF:$AF,$M137)="","",INDEX(Log!$AF:$AF,$M137)))</f>
        <v/>
      </c>
      <c r="I137" s="69" t="str">
        <f aca="false">IF($M137="","",IF(INDEX(Log!$AG:$AG,$M137)="","",INDEX(Log!$AG:$AG,$M137)))</f>
        <v/>
      </c>
      <c r="J137" s="68" t="str">
        <f aca="false">IF($M137="","",IF(INDEX(Log!$AH:$AH,$M137)="","",INDEX(Log!$AH:$AH,$M137)))</f>
        <v/>
      </c>
      <c r="K137" s="67" t="str">
        <f aca="false">IF($M137="","",IF(INDEX(Log!$AI:$AI,$M137)="","",INDEX(Log!$AI:$AI,$M137)))</f>
        <v/>
      </c>
      <c r="L137" s="68" t="str">
        <f aca="false">IF($M137="","",IF(INDEX(Log!$AJ:$AJ,$M137)="","",INDEX(Log!$AJ:$AJ,$M137)))</f>
        <v/>
      </c>
      <c r="M137" s="68" t="str">
        <f aca="false">IFERROR(SMALL(Log!$AM$6:$AM$305,132),"")</f>
        <v/>
      </c>
    </row>
    <row r="138" customFormat="false" ht="30" hidden="false" customHeight="true" outlineLevel="0" collapsed="false">
      <c r="A138" s="64" t="str">
        <f aca="false">IF($M138="","",133)</f>
        <v/>
      </c>
      <c r="B138" s="65" t="str">
        <f aca="false">IF($M138="","",IF(INDEX(Log!$A:$A,$M138)="","",INDEX(Log!$A:$A,$M138)))</f>
        <v/>
      </c>
      <c r="C138" s="65" t="str">
        <f aca="false">IF($M138="","",IF(INDEX(Log!$B:$B,$M138)="","",INDEX(Log!$B:$B,$M138)))</f>
        <v/>
      </c>
      <c r="D138" s="66" t="str">
        <f aca="false">IF($M138="","",IF(INDEX(Log!$C:$C,$M138)="","",INDEX(Log!$C:$C,$M138)))</f>
        <v/>
      </c>
      <c r="E138" s="65" t="str">
        <f aca="false">IF($M138="","",IF(INDEX(Log!$K:$K,$M138)="","",INDEX(Log!$K:$K,$M138)))</f>
        <v/>
      </c>
      <c r="F138" s="65" t="str">
        <f aca="false">IF($M138="","",IF(INDEX(Log!$AD:$AD,$M138)="","",INDEX(Log!$AD:$AD,$M138)))</f>
        <v/>
      </c>
      <c r="G138" s="65" t="str">
        <f aca="false">IF($M138="","",IF(INDEX(Log!$AE:$AE,$M138)="","",INDEX(Log!$AE:$AE,$M138)))</f>
        <v/>
      </c>
      <c r="H138" s="65" t="str">
        <f aca="false">IF($M138="","",IF(INDEX(Log!$AF:$AF,$M138)="","",INDEX(Log!$AF:$AF,$M138)))</f>
        <v/>
      </c>
      <c r="I138" s="66" t="str">
        <f aca="false">IF($M138="","",IF(INDEX(Log!$AG:$AG,$M138)="","",INDEX(Log!$AG:$AG,$M138)))</f>
        <v/>
      </c>
      <c r="J138" s="65" t="str">
        <f aca="false">IF($M138="","",IF(INDEX(Log!$AH:$AH,$M138)="","",INDEX(Log!$AH:$AH,$M138)))</f>
        <v/>
      </c>
      <c r="K138" s="64" t="str">
        <f aca="false">IF($M138="","",IF(INDEX(Log!$AI:$AI,$M138)="","",INDEX(Log!$AI:$AI,$M138)))</f>
        <v/>
      </c>
      <c r="L138" s="65" t="str">
        <f aca="false">IF($M138="","",IF(INDEX(Log!$AJ:$AJ,$M138)="","",INDEX(Log!$AJ:$AJ,$M138)))</f>
        <v/>
      </c>
      <c r="M138" s="65" t="str">
        <f aca="false">IFERROR(SMALL(Log!$AM$6:$AM$305,133),"")</f>
        <v/>
      </c>
    </row>
    <row r="139" customFormat="false" ht="30" hidden="false" customHeight="true" outlineLevel="0" collapsed="false">
      <c r="A139" s="67" t="str">
        <f aca="false">IF($M139="","",134)</f>
        <v/>
      </c>
      <c r="B139" s="68" t="str">
        <f aca="false">IF($M139="","",IF(INDEX(Log!$A:$A,$M139)="","",INDEX(Log!$A:$A,$M139)))</f>
        <v/>
      </c>
      <c r="C139" s="68" t="str">
        <f aca="false">IF($M139="","",IF(INDEX(Log!$B:$B,$M139)="","",INDEX(Log!$B:$B,$M139)))</f>
        <v/>
      </c>
      <c r="D139" s="69" t="str">
        <f aca="false">IF($M139="","",IF(INDEX(Log!$C:$C,$M139)="","",INDEX(Log!$C:$C,$M139)))</f>
        <v/>
      </c>
      <c r="E139" s="68" t="str">
        <f aca="false">IF($M139="","",IF(INDEX(Log!$K:$K,$M139)="","",INDEX(Log!$K:$K,$M139)))</f>
        <v/>
      </c>
      <c r="F139" s="68" t="str">
        <f aca="false">IF($M139="","",IF(INDEX(Log!$AD:$AD,$M139)="","",INDEX(Log!$AD:$AD,$M139)))</f>
        <v/>
      </c>
      <c r="G139" s="68" t="str">
        <f aca="false">IF($M139="","",IF(INDEX(Log!$AE:$AE,$M139)="","",INDEX(Log!$AE:$AE,$M139)))</f>
        <v/>
      </c>
      <c r="H139" s="68" t="str">
        <f aca="false">IF($M139="","",IF(INDEX(Log!$AF:$AF,$M139)="","",INDEX(Log!$AF:$AF,$M139)))</f>
        <v/>
      </c>
      <c r="I139" s="69" t="str">
        <f aca="false">IF($M139="","",IF(INDEX(Log!$AG:$AG,$M139)="","",INDEX(Log!$AG:$AG,$M139)))</f>
        <v/>
      </c>
      <c r="J139" s="68" t="str">
        <f aca="false">IF($M139="","",IF(INDEX(Log!$AH:$AH,$M139)="","",INDEX(Log!$AH:$AH,$M139)))</f>
        <v/>
      </c>
      <c r="K139" s="67" t="str">
        <f aca="false">IF($M139="","",IF(INDEX(Log!$AI:$AI,$M139)="","",INDEX(Log!$AI:$AI,$M139)))</f>
        <v/>
      </c>
      <c r="L139" s="68" t="str">
        <f aca="false">IF($M139="","",IF(INDEX(Log!$AJ:$AJ,$M139)="","",INDEX(Log!$AJ:$AJ,$M139)))</f>
        <v/>
      </c>
      <c r="M139" s="68" t="str">
        <f aca="false">IFERROR(SMALL(Log!$AM$6:$AM$305,134),"")</f>
        <v/>
      </c>
    </row>
    <row r="140" customFormat="false" ht="30" hidden="false" customHeight="true" outlineLevel="0" collapsed="false">
      <c r="A140" s="64" t="str">
        <f aca="false">IF($M140="","",135)</f>
        <v/>
      </c>
      <c r="B140" s="65" t="str">
        <f aca="false">IF($M140="","",IF(INDEX(Log!$A:$A,$M140)="","",INDEX(Log!$A:$A,$M140)))</f>
        <v/>
      </c>
      <c r="C140" s="65" t="str">
        <f aca="false">IF($M140="","",IF(INDEX(Log!$B:$B,$M140)="","",INDEX(Log!$B:$B,$M140)))</f>
        <v/>
      </c>
      <c r="D140" s="66" t="str">
        <f aca="false">IF($M140="","",IF(INDEX(Log!$C:$C,$M140)="","",INDEX(Log!$C:$C,$M140)))</f>
        <v/>
      </c>
      <c r="E140" s="65" t="str">
        <f aca="false">IF($M140="","",IF(INDEX(Log!$K:$K,$M140)="","",INDEX(Log!$K:$K,$M140)))</f>
        <v/>
      </c>
      <c r="F140" s="65" t="str">
        <f aca="false">IF($M140="","",IF(INDEX(Log!$AD:$AD,$M140)="","",INDEX(Log!$AD:$AD,$M140)))</f>
        <v/>
      </c>
      <c r="G140" s="65" t="str">
        <f aca="false">IF($M140="","",IF(INDEX(Log!$AE:$AE,$M140)="","",INDEX(Log!$AE:$AE,$M140)))</f>
        <v/>
      </c>
      <c r="H140" s="65" t="str">
        <f aca="false">IF($M140="","",IF(INDEX(Log!$AF:$AF,$M140)="","",INDEX(Log!$AF:$AF,$M140)))</f>
        <v/>
      </c>
      <c r="I140" s="66" t="str">
        <f aca="false">IF($M140="","",IF(INDEX(Log!$AG:$AG,$M140)="","",INDEX(Log!$AG:$AG,$M140)))</f>
        <v/>
      </c>
      <c r="J140" s="65" t="str">
        <f aca="false">IF($M140="","",IF(INDEX(Log!$AH:$AH,$M140)="","",INDEX(Log!$AH:$AH,$M140)))</f>
        <v/>
      </c>
      <c r="K140" s="64" t="str">
        <f aca="false">IF($M140="","",IF(INDEX(Log!$AI:$AI,$M140)="","",INDEX(Log!$AI:$AI,$M140)))</f>
        <v/>
      </c>
      <c r="L140" s="65" t="str">
        <f aca="false">IF($M140="","",IF(INDEX(Log!$AJ:$AJ,$M140)="","",INDEX(Log!$AJ:$AJ,$M140)))</f>
        <v/>
      </c>
      <c r="M140" s="65" t="str">
        <f aca="false">IFERROR(SMALL(Log!$AM$6:$AM$305,135),"")</f>
        <v/>
      </c>
    </row>
    <row r="141" customFormat="false" ht="30" hidden="false" customHeight="true" outlineLevel="0" collapsed="false">
      <c r="A141" s="67" t="str">
        <f aca="false">IF($M141="","",136)</f>
        <v/>
      </c>
      <c r="B141" s="68" t="str">
        <f aca="false">IF($M141="","",IF(INDEX(Log!$A:$A,$M141)="","",INDEX(Log!$A:$A,$M141)))</f>
        <v/>
      </c>
      <c r="C141" s="68" t="str">
        <f aca="false">IF($M141="","",IF(INDEX(Log!$B:$B,$M141)="","",INDEX(Log!$B:$B,$M141)))</f>
        <v/>
      </c>
      <c r="D141" s="69" t="str">
        <f aca="false">IF($M141="","",IF(INDEX(Log!$C:$C,$M141)="","",INDEX(Log!$C:$C,$M141)))</f>
        <v/>
      </c>
      <c r="E141" s="68" t="str">
        <f aca="false">IF($M141="","",IF(INDEX(Log!$K:$K,$M141)="","",INDEX(Log!$K:$K,$M141)))</f>
        <v/>
      </c>
      <c r="F141" s="68" t="str">
        <f aca="false">IF($M141="","",IF(INDEX(Log!$AD:$AD,$M141)="","",INDEX(Log!$AD:$AD,$M141)))</f>
        <v/>
      </c>
      <c r="G141" s="68" t="str">
        <f aca="false">IF($M141="","",IF(INDEX(Log!$AE:$AE,$M141)="","",INDEX(Log!$AE:$AE,$M141)))</f>
        <v/>
      </c>
      <c r="H141" s="68" t="str">
        <f aca="false">IF($M141="","",IF(INDEX(Log!$AF:$AF,$M141)="","",INDEX(Log!$AF:$AF,$M141)))</f>
        <v/>
      </c>
      <c r="I141" s="69" t="str">
        <f aca="false">IF($M141="","",IF(INDEX(Log!$AG:$AG,$M141)="","",INDEX(Log!$AG:$AG,$M141)))</f>
        <v/>
      </c>
      <c r="J141" s="68" t="str">
        <f aca="false">IF($M141="","",IF(INDEX(Log!$AH:$AH,$M141)="","",INDEX(Log!$AH:$AH,$M141)))</f>
        <v/>
      </c>
      <c r="K141" s="67" t="str">
        <f aca="false">IF($M141="","",IF(INDEX(Log!$AI:$AI,$M141)="","",INDEX(Log!$AI:$AI,$M141)))</f>
        <v/>
      </c>
      <c r="L141" s="68" t="str">
        <f aca="false">IF($M141="","",IF(INDEX(Log!$AJ:$AJ,$M141)="","",INDEX(Log!$AJ:$AJ,$M141)))</f>
        <v/>
      </c>
      <c r="M141" s="68" t="str">
        <f aca="false">IFERROR(SMALL(Log!$AM$6:$AM$305,136),"")</f>
        <v/>
      </c>
    </row>
    <row r="142" customFormat="false" ht="30" hidden="false" customHeight="true" outlineLevel="0" collapsed="false">
      <c r="A142" s="64" t="str">
        <f aca="false">IF($M142="","",137)</f>
        <v/>
      </c>
      <c r="B142" s="65" t="str">
        <f aca="false">IF($M142="","",IF(INDEX(Log!$A:$A,$M142)="","",INDEX(Log!$A:$A,$M142)))</f>
        <v/>
      </c>
      <c r="C142" s="65" t="str">
        <f aca="false">IF($M142="","",IF(INDEX(Log!$B:$B,$M142)="","",INDEX(Log!$B:$B,$M142)))</f>
        <v/>
      </c>
      <c r="D142" s="66" t="str">
        <f aca="false">IF($M142="","",IF(INDEX(Log!$C:$C,$M142)="","",INDEX(Log!$C:$C,$M142)))</f>
        <v/>
      </c>
      <c r="E142" s="65" t="str">
        <f aca="false">IF($M142="","",IF(INDEX(Log!$K:$K,$M142)="","",INDEX(Log!$K:$K,$M142)))</f>
        <v/>
      </c>
      <c r="F142" s="65" t="str">
        <f aca="false">IF($M142="","",IF(INDEX(Log!$AD:$AD,$M142)="","",INDEX(Log!$AD:$AD,$M142)))</f>
        <v/>
      </c>
      <c r="G142" s="65" t="str">
        <f aca="false">IF($M142="","",IF(INDEX(Log!$AE:$AE,$M142)="","",INDEX(Log!$AE:$AE,$M142)))</f>
        <v/>
      </c>
      <c r="H142" s="65" t="str">
        <f aca="false">IF($M142="","",IF(INDEX(Log!$AF:$AF,$M142)="","",INDEX(Log!$AF:$AF,$M142)))</f>
        <v/>
      </c>
      <c r="I142" s="66" t="str">
        <f aca="false">IF($M142="","",IF(INDEX(Log!$AG:$AG,$M142)="","",INDEX(Log!$AG:$AG,$M142)))</f>
        <v/>
      </c>
      <c r="J142" s="65" t="str">
        <f aca="false">IF($M142="","",IF(INDEX(Log!$AH:$AH,$M142)="","",INDEX(Log!$AH:$AH,$M142)))</f>
        <v/>
      </c>
      <c r="K142" s="64" t="str">
        <f aca="false">IF($M142="","",IF(INDEX(Log!$AI:$AI,$M142)="","",INDEX(Log!$AI:$AI,$M142)))</f>
        <v/>
      </c>
      <c r="L142" s="65" t="str">
        <f aca="false">IF($M142="","",IF(INDEX(Log!$AJ:$AJ,$M142)="","",INDEX(Log!$AJ:$AJ,$M142)))</f>
        <v/>
      </c>
      <c r="M142" s="65" t="str">
        <f aca="false">IFERROR(SMALL(Log!$AM$6:$AM$305,137),"")</f>
        <v/>
      </c>
    </row>
    <row r="143" customFormat="false" ht="30" hidden="false" customHeight="true" outlineLevel="0" collapsed="false">
      <c r="A143" s="67" t="str">
        <f aca="false">IF($M143="","",138)</f>
        <v/>
      </c>
      <c r="B143" s="68" t="str">
        <f aca="false">IF($M143="","",IF(INDEX(Log!$A:$A,$M143)="","",INDEX(Log!$A:$A,$M143)))</f>
        <v/>
      </c>
      <c r="C143" s="68" t="str">
        <f aca="false">IF($M143="","",IF(INDEX(Log!$B:$B,$M143)="","",INDEX(Log!$B:$B,$M143)))</f>
        <v/>
      </c>
      <c r="D143" s="69" t="str">
        <f aca="false">IF($M143="","",IF(INDEX(Log!$C:$C,$M143)="","",INDEX(Log!$C:$C,$M143)))</f>
        <v/>
      </c>
      <c r="E143" s="68" t="str">
        <f aca="false">IF($M143="","",IF(INDEX(Log!$K:$K,$M143)="","",INDEX(Log!$K:$K,$M143)))</f>
        <v/>
      </c>
      <c r="F143" s="68" t="str">
        <f aca="false">IF($M143="","",IF(INDEX(Log!$AD:$AD,$M143)="","",INDEX(Log!$AD:$AD,$M143)))</f>
        <v/>
      </c>
      <c r="G143" s="68" t="str">
        <f aca="false">IF($M143="","",IF(INDEX(Log!$AE:$AE,$M143)="","",INDEX(Log!$AE:$AE,$M143)))</f>
        <v/>
      </c>
      <c r="H143" s="68" t="str">
        <f aca="false">IF($M143="","",IF(INDEX(Log!$AF:$AF,$M143)="","",INDEX(Log!$AF:$AF,$M143)))</f>
        <v/>
      </c>
      <c r="I143" s="69" t="str">
        <f aca="false">IF($M143="","",IF(INDEX(Log!$AG:$AG,$M143)="","",INDEX(Log!$AG:$AG,$M143)))</f>
        <v/>
      </c>
      <c r="J143" s="68" t="str">
        <f aca="false">IF($M143="","",IF(INDEX(Log!$AH:$AH,$M143)="","",INDEX(Log!$AH:$AH,$M143)))</f>
        <v/>
      </c>
      <c r="K143" s="67" t="str">
        <f aca="false">IF($M143="","",IF(INDEX(Log!$AI:$AI,$M143)="","",INDEX(Log!$AI:$AI,$M143)))</f>
        <v/>
      </c>
      <c r="L143" s="68" t="str">
        <f aca="false">IF($M143="","",IF(INDEX(Log!$AJ:$AJ,$M143)="","",INDEX(Log!$AJ:$AJ,$M143)))</f>
        <v/>
      </c>
      <c r="M143" s="68" t="str">
        <f aca="false">IFERROR(SMALL(Log!$AM$6:$AM$305,138),"")</f>
        <v/>
      </c>
    </row>
    <row r="144" customFormat="false" ht="30" hidden="false" customHeight="true" outlineLevel="0" collapsed="false">
      <c r="A144" s="64" t="str">
        <f aca="false">IF($M144="","",139)</f>
        <v/>
      </c>
      <c r="B144" s="65" t="str">
        <f aca="false">IF($M144="","",IF(INDEX(Log!$A:$A,$M144)="","",INDEX(Log!$A:$A,$M144)))</f>
        <v/>
      </c>
      <c r="C144" s="65" t="str">
        <f aca="false">IF($M144="","",IF(INDEX(Log!$B:$B,$M144)="","",INDEX(Log!$B:$B,$M144)))</f>
        <v/>
      </c>
      <c r="D144" s="66" t="str">
        <f aca="false">IF($M144="","",IF(INDEX(Log!$C:$C,$M144)="","",INDEX(Log!$C:$C,$M144)))</f>
        <v/>
      </c>
      <c r="E144" s="65" t="str">
        <f aca="false">IF($M144="","",IF(INDEX(Log!$K:$K,$M144)="","",INDEX(Log!$K:$K,$M144)))</f>
        <v/>
      </c>
      <c r="F144" s="65" t="str">
        <f aca="false">IF($M144="","",IF(INDEX(Log!$AD:$AD,$M144)="","",INDEX(Log!$AD:$AD,$M144)))</f>
        <v/>
      </c>
      <c r="G144" s="65" t="str">
        <f aca="false">IF($M144="","",IF(INDEX(Log!$AE:$AE,$M144)="","",INDEX(Log!$AE:$AE,$M144)))</f>
        <v/>
      </c>
      <c r="H144" s="65" t="str">
        <f aca="false">IF($M144="","",IF(INDEX(Log!$AF:$AF,$M144)="","",INDEX(Log!$AF:$AF,$M144)))</f>
        <v/>
      </c>
      <c r="I144" s="66" t="str">
        <f aca="false">IF($M144="","",IF(INDEX(Log!$AG:$AG,$M144)="","",INDEX(Log!$AG:$AG,$M144)))</f>
        <v/>
      </c>
      <c r="J144" s="65" t="str">
        <f aca="false">IF($M144="","",IF(INDEX(Log!$AH:$AH,$M144)="","",INDEX(Log!$AH:$AH,$M144)))</f>
        <v/>
      </c>
      <c r="K144" s="64" t="str">
        <f aca="false">IF($M144="","",IF(INDEX(Log!$AI:$AI,$M144)="","",INDEX(Log!$AI:$AI,$M144)))</f>
        <v/>
      </c>
      <c r="L144" s="65" t="str">
        <f aca="false">IF($M144="","",IF(INDEX(Log!$AJ:$AJ,$M144)="","",INDEX(Log!$AJ:$AJ,$M144)))</f>
        <v/>
      </c>
      <c r="M144" s="65" t="str">
        <f aca="false">IFERROR(SMALL(Log!$AM$6:$AM$305,139),"")</f>
        <v/>
      </c>
    </row>
    <row r="145" customFormat="false" ht="30" hidden="false" customHeight="true" outlineLevel="0" collapsed="false">
      <c r="A145" s="67" t="str">
        <f aca="false">IF($M145="","",140)</f>
        <v/>
      </c>
      <c r="B145" s="68" t="str">
        <f aca="false">IF($M145="","",IF(INDEX(Log!$A:$A,$M145)="","",INDEX(Log!$A:$A,$M145)))</f>
        <v/>
      </c>
      <c r="C145" s="68" t="str">
        <f aca="false">IF($M145="","",IF(INDEX(Log!$B:$B,$M145)="","",INDEX(Log!$B:$B,$M145)))</f>
        <v/>
      </c>
      <c r="D145" s="69" t="str">
        <f aca="false">IF($M145="","",IF(INDEX(Log!$C:$C,$M145)="","",INDEX(Log!$C:$C,$M145)))</f>
        <v/>
      </c>
      <c r="E145" s="68" t="str">
        <f aca="false">IF($M145="","",IF(INDEX(Log!$K:$K,$M145)="","",INDEX(Log!$K:$K,$M145)))</f>
        <v/>
      </c>
      <c r="F145" s="68" t="str">
        <f aca="false">IF($M145="","",IF(INDEX(Log!$AD:$AD,$M145)="","",INDEX(Log!$AD:$AD,$M145)))</f>
        <v/>
      </c>
      <c r="G145" s="68" t="str">
        <f aca="false">IF($M145="","",IF(INDEX(Log!$AE:$AE,$M145)="","",INDEX(Log!$AE:$AE,$M145)))</f>
        <v/>
      </c>
      <c r="H145" s="68" t="str">
        <f aca="false">IF($M145="","",IF(INDEX(Log!$AF:$AF,$M145)="","",INDEX(Log!$AF:$AF,$M145)))</f>
        <v/>
      </c>
      <c r="I145" s="69" t="str">
        <f aca="false">IF($M145="","",IF(INDEX(Log!$AG:$AG,$M145)="","",INDEX(Log!$AG:$AG,$M145)))</f>
        <v/>
      </c>
      <c r="J145" s="68" t="str">
        <f aca="false">IF($M145="","",IF(INDEX(Log!$AH:$AH,$M145)="","",INDEX(Log!$AH:$AH,$M145)))</f>
        <v/>
      </c>
      <c r="K145" s="67" t="str">
        <f aca="false">IF($M145="","",IF(INDEX(Log!$AI:$AI,$M145)="","",INDEX(Log!$AI:$AI,$M145)))</f>
        <v/>
      </c>
      <c r="L145" s="68" t="str">
        <f aca="false">IF($M145="","",IF(INDEX(Log!$AJ:$AJ,$M145)="","",INDEX(Log!$AJ:$AJ,$M145)))</f>
        <v/>
      </c>
      <c r="M145" s="68" t="str">
        <f aca="false">IFERROR(SMALL(Log!$AM$6:$AM$305,140),"")</f>
        <v/>
      </c>
    </row>
    <row r="146" customFormat="false" ht="30" hidden="false" customHeight="true" outlineLevel="0" collapsed="false">
      <c r="A146" s="64" t="str">
        <f aca="false">IF($M146="","",141)</f>
        <v/>
      </c>
      <c r="B146" s="65" t="str">
        <f aca="false">IF($M146="","",IF(INDEX(Log!$A:$A,$M146)="","",INDEX(Log!$A:$A,$M146)))</f>
        <v/>
      </c>
      <c r="C146" s="65" t="str">
        <f aca="false">IF($M146="","",IF(INDEX(Log!$B:$B,$M146)="","",INDEX(Log!$B:$B,$M146)))</f>
        <v/>
      </c>
      <c r="D146" s="66" t="str">
        <f aca="false">IF($M146="","",IF(INDEX(Log!$C:$C,$M146)="","",INDEX(Log!$C:$C,$M146)))</f>
        <v/>
      </c>
      <c r="E146" s="65" t="str">
        <f aca="false">IF($M146="","",IF(INDEX(Log!$K:$K,$M146)="","",INDEX(Log!$K:$K,$M146)))</f>
        <v/>
      </c>
      <c r="F146" s="65" t="str">
        <f aca="false">IF($M146="","",IF(INDEX(Log!$AD:$AD,$M146)="","",INDEX(Log!$AD:$AD,$M146)))</f>
        <v/>
      </c>
      <c r="G146" s="65" t="str">
        <f aca="false">IF($M146="","",IF(INDEX(Log!$AE:$AE,$M146)="","",INDEX(Log!$AE:$AE,$M146)))</f>
        <v/>
      </c>
      <c r="H146" s="65" t="str">
        <f aca="false">IF($M146="","",IF(INDEX(Log!$AF:$AF,$M146)="","",INDEX(Log!$AF:$AF,$M146)))</f>
        <v/>
      </c>
      <c r="I146" s="66" t="str">
        <f aca="false">IF($M146="","",IF(INDEX(Log!$AG:$AG,$M146)="","",INDEX(Log!$AG:$AG,$M146)))</f>
        <v/>
      </c>
      <c r="J146" s="65" t="str">
        <f aca="false">IF($M146="","",IF(INDEX(Log!$AH:$AH,$M146)="","",INDEX(Log!$AH:$AH,$M146)))</f>
        <v/>
      </c>
      <c r="K146" s="64" t="str">
        <f aca="false">IF($M146="","",IF(INDEX(Log!$AI:$AI,$M146)="","",INDEX(Log!$AI:$AI,$M146)))</f>
        <v/>
      </c>
      <c r="L146" s="65" t="str">
        <f aca="false">IF($M146="","",IF(INDEX(Log!$AJ:$AJ,$M146)="","",INDEX(Log!$AJ:$AJ,$M146)))</f>
        <v/>
      </c>
      <c r="M146" s="65" t="str">
        <f aca="false">IFERROR(SMALL(Log!$AM$6:$AM$305,141),"")</f>
        <v/>
      </c>
    </row>
    <row r="147" customFormat="false" ht="30" hidden="false" customHeight="true" outlineLevel="0" collapsed="false">
      <c r="A147" s="67" t="str">
        <f aca="false">IF($M147="","",142)</f>
        <v/>
      </c>
      <c r="B147" s="68" t="str">
        <f aca="false">IF($M147="","",IF(INDEX(Log!$A:$A,$M147)="","",INDEX(Log!$A:$A,$M147)))</f>
        <v/>
      </c>
      <c r="C147" s="68" t="str">
        <f aca="false">IF($M147="","",IF(INDEX(Log!$B:$B,$M147)="","",INDEX(Log!$B:$B,$M147)))</f>
        <v/>
      </c>
      <c r="D147" s="69" t="str">
        <f aca="false">IF($M147="","",IF(INDEX(Log!$C:$C,$M147)="","",INDEX(Log!$C:$C,$M147)))</f>
        <v/>
      </c>
      <c r="E147" s="68" t="str">
        <f aca="false">IF($M147="","",IF(INDEX(Log!$K:$K,$M147)="","",INDEX(Log!$K:$K,$M147)))</f>
        <v/>
      </c>
      <c r="F147" s="68" t="str">
        <f aca="false">IF($M147="","",IF(INDEX(Log!$AD:$AD,$M147)="","",INDEX(Log!$AD:$AD,$M147)))</f>
        <v/>
      </c>
      <c r="G147" s="68" t="str">
        <f aca="false">IF($M147="","",IF(INDEX(Log!$AE:$AE,$M147)="","",INDEX(Log!$AE:$AE,$M147)))</f>
        <v/>
      </c>
      <c r="H147" s="68" t="str">
        <f aca="false">IF($M147="","",IF(INDEX(Log!$AF:$AF,$M147)="","",INDEX(Log!$AF:$AF,$M147)))</f>
        <v/>
      </c>
      <c r="I147" s="69" t="str">
        <f aca="false">IF($M147="","",IF(INDEX(Log!$AG:$AG,$M147)="","",INDEX(Log!$AG:$AG,$M147)))</f>
        <v/>
      </c>
      <c r="J147" s="68" t="str">
        <f aca="false">IF($M147="","",IF(INDEX(Log!$AH:$AH,$M147)="","",INDEX(Log!$AH:$AH,$M147)))</f>
        <v/>
      </c>
      <c r="K147" s="67" t="str">
        <f aca="false">IF($M147="","",IF(INDEX(Log!$AI:$AI,$M147)="","",INDEX(Log!$AI:$AI,$M147)))</f>
        <v/>
      </c>
      <c r="L147" s="68" t="str">
        <f aca="false">IF($M147="","",IF(INDEX(Log!$AJ:$AJ,$M147)="","",INDEX(Log!$AJ:$AJ,$M147)))</f>
        <v/>
      </c>
      <c r="M147" s="68" t="str">
        <f aca="false">IFERROR(SMALL(Log!$AM$6:$AM$305,142),"")</f>
        <v/>
      </c>
    </row>
    <row r="148" customFormat="false" ht="30" hidden="false" customHeight="true" outlineLevel="0" collapsed="false">
      <c r="A148" s="64" t="str">
        <f aca="false">IF($M148="","",143)</f>
        <v/>
      </c>
      <c r="B148" s="65" t="str">
        <f aca="false">IF($M148="","",IF(INDEX(Log!$A:$A,$M148)="","",INDEX(Log!$A:$A,$M148)))</f>
        <v/>
      </c>
      <c r="C148" s="65" t="str">
        <f aca="false">IF($M148="","",IF(INDEX(Log!$B:$B,$M148)="","",INDEX(Log!$B:$B,$M148)))</f>
        <v/>
      </c>
      <c r="D148" s="66" t="str">
        <f aca="false">IF($M148="","",IF(INDEX(Log!$C:$C,$M148)="","",INDEX(Log!$C:$C,$M148)))</f>
        <v/>
      </c>
      <c r="E148" s="65" t="str">
        <f aca="false">IF($M148="","",IF(INDEX(Log!$K:$K,$M148)="","",INDEX(Log!$K:$K,$M148)))</f>
        <v/>
      </c>
      <c r="F148" s="65" t="str">
        <f aca="false">IF($M148="","",IF(INDEX(Log!$AD:$AD,$M148)="","",INDEX(Log!$AD:$AD,$M148)))</f>
        <v/>
      </c>
      <c r="G148" s="65" t="str">
        <f aca="false">IF($M148="","",IF(INDEX(Log!$AE:$AE,$M148)="","",INDEX(Log!$AE:$AE,$M148)))</f>
        <v/>
      </c>
      <c r="H148" s="65" t="str">
        <f aca="false">IF($M148="","",IF(INDEX(Log!$AF:$AF,$M148)="","",INDEX(Log!$AF:$AF,$M148)))</f>
        <v/>
      </c>
      <c r="I148" s="66" t="str">
        <f aca="false">IF($M148="","",IF(INDEX(Log!$AG:$AG,$M148)="","",INDEX(Log!$AG:$AG,$M148)))</f>
        <v/>
      </c>
      <c r="J148" s="65" t="str">
        <f aca="false">IF($M148="","",IF(INDEX(Log!$AH:$AH,$M148)="","",INDEX(Log!$AH:$AH,$M148)))</f>
        <v/>
      </c>
      <c r="K148" s="64" t="str">
        <f aca="false">IF($M148="","",IF(INDEX(Log!$AI:$AI,$M148)="","",INDEX(Log!$AI:$AI,$M148)))</f>
        <v/>
      </c>
      <c r="L148" s="65" t="str">
        <f aca="false">IF($M148="","",IF(INDEX(Log!$AJ:$AJ,$M148)="","",INDEX(Log!$AJ:$AJ,$M148)))</f>
        <v/>
      </c>
      <c r="M148" s="65" t="str">
        <f aca="false">IFERROR(SMALL(Log!$AM$6:$AM$305,143),"")</f>
        <v/>
      </c>
    </row>
    <row r="149" customFormat="false" ht="30" hidden="false" customHeight="true" outlineLevel="0" collapsed="false">
      <c r="A149" s="67" t="str">
        <f aca="false">IF($M149="","",144)</f>
        <v/>
      </c>
      <c r="B149" s="68" t="str">
        <f aca="false">IF($M149="","",IF(INDEX(Log!$A:$A,$M149)="","",INDEX(Log!$A:$A,$M149)))</f>
        <v/>
      </c>
      <c r="C149" s="68" t="str">
        <f aca="false">IF($M149="","",IF(INDEX(Log!$B:$B,$M149)="","",INDEX(Log!$B:$B,$M149)))</f>
        <v/>
      </c>
      <c r="D149" s="69" t="str">
        <f aca="false">IF($M149="","",IF(INDEX(Log!$C:$C,$M149)="","",INDEX(Log!$C:$C,$M149)))</f>
        <v/>
      </c>
      <c r="E149" s="68" t="str">
        <f aca="false">IF($M149="","",IF(INDEX(Log!$K:$K,$M149)="","",INDEX(Log!$K:$K,$M149)))</f>
        <v/>
      </c>
      <c r="F149" s="68" t="str">
        <f aca="false">IF($M149="","",IF(INDEX(Log!$AD:$AD,$M149)="","",INDEX(Log!$AD:$AD,$M149)))</f>
        <v/>
      </c>
      <c r="G149" s="68" t="str">
        <f aca="false">IF($M149="","",IF(INDEX(Log!$AE:$AE,$M149)="","",INDEX(Log!$AE:$AE,$M149)))</f>
        <v/>
      </c>
      <c r="H149" s="68" t="str">
        <f aca="false">IF($M149="","",IF(INDEX(Log!$AF:$AF,$M149)="","",INDEX(Log!$AF:$AF,$M149)))</f>
        <v/>
      </c>
      <c r="I149" s="69" t="str">
        <f aca="false">IF($M149="","",IF(INDEX(Log!$AG:$AG,$M149)="","",INDEX(Log!$AG:$AG,$M149)))</f>
        <v/>
      </c>
      <c r="J149" s="68" t="str">
        <f aca="false">IF($M149="","",IF(INDEX(Log!$AH:$AH,$M149)="","",INDEX(Log!$AH:$AH,$M149)))</f>
        <v/>
      </c>
      <c r="K149" s="67" t="str">
        <f aca="false">IF($M149="","",IF(INDEX(Log!$AI:$AI,$M149)="","",INDEX(Log!$AI:$AI,$M149)))</f>
        <v/>
      </c>
      <c r="L149" s="68" t="str">
        <f aca="false">IF($M149="","",IF(INDEX(Log!$AJ:$AJ,$M149)="","",INDEX(Log!$AJ:$AJ,$M149)))</f>
        <v/>
      </c>
      <c r="M149" s="68" t="str">
        <f aca="false">IFERROR(SMALL(Log!$AM$6:$AM$305,144),"")</f>
        <v/>
      </c>
    </row>
    <row r="150" customFormat="false" ht="30" hidden="false" customHeight="true" outlineLevel="0" collapsed="false">
      <c r="A150" s="64" t="str">
        <f aca="false">IF($M150="","",145)</f>
        <v/>
      </c>
      <c r="B150" s="65" t="str">
        <f aca="false">IF($M150="","",IF(INDEX(Log!$A:$A,$M150)="","",INDEX(Log!$A:$A,$M150)))</f>
        <v/>
      </c>
      <c r="C150" s="65" t="str">
        <f aca="false">IF($M150="","",IF(INDEX(Log!$B:$B,$M150)="","",INDEX(Log!$B:$B,$M150)))</f>
        <v/>
      </c>
      <c r="D150" s="66" t="str">
        <f aca="false">IF($M150="","",IF(INDEX(Log!$C:$C,$M150)="","",INDEX(Log!$C:$C,$M150)))</f>
        <v/>
      </c>
      <c r="E150" s="65" t="str">
        <f aca="false">IF($M150="","",IF(INDEX(Log!$K:$K,$M150)="","",INDEX(Log!$K:$K,$M150)))</f>
        <v/>
      </c>
      <c r="F150" s="65" t="str">
        <f aca="false">IF($M150="","",IF(INDEX(Log!$AD:$AD,$M150)="","",INDEX(Log!$AD:$AD,$M150)))</f>
        <v/>
      </c>
      <c r="G150" s="65" t="str">
        <f aca="false">IF($M150="","",IF(INDEX(Log!$AE:$AE,$M150)="","",INDEX(Log!$AE:$AE,$M150)))</f>
        <v/>
      </c>
      <c r="H150" s="65" t="str">
        <f aca="false">IF($M150="","",IF(INDEX(Log!$AF:$AF,$M150)="","",INDEX(Log!$AF:$AF,$M150)))</f>
        <v/>
      </c>
      <c r="I150" s="66" t="str">
        <f aca="false">IF($M150="","",IF(INDEX(Log!$AG:$AG,$M150)="","",INDEX(Log!$AG:$AG,$M150)))</f>
        <v/>
      </c>
      <c r="J150" s="65" t="str">
        <f aca="false">IF($M150="","",IF(INDEX(Log!$AH:$AH,$M150)="","",INDEX(Log!$AH:$AH,$M150)))</f>
        <v/>
      </c>
      <c r="K150" s="64" t="str">
        <f aca="false">IF($M150="","",IF(INDEX(Log!$AI:$AI,$M150)="","",INDEX(Log!$AI:$AI,$M150)))</f>
        <v/>
      </c>
      <c r="L150" s="65" t="str">
        <f aca="false">IF($M150="","",IF(INDEX(Log!$AJ:$AJ,$M150)="","",INDEX(Log!$AJ:$AJ,$M150)))</f>
        <v/>
      </c>
      <c r="M150" s="65" t="str">
        <f aca="false">IFERROR(SMALL(Log!$AM$6:$AM$305,145),"")</f>
        <v/>
      </c>
    </row>
    <row r="151" customFormat="false" ht="30" hidden="false" customHeight="true" outlineLevel="0" collapsed="false">
      <c r="A151" s="67" t="str">
        <f aca="false">IF($M151="","",146)</f>
        <v/>
      </c>
      <c r="B151" s="68" t="str">
        <f aca="false">IF($M151="","",IF(INDEX(Log!$A:$A,$M151)="","",INDEX(Log!$A:$A,$M151)))</f>
        <v/>
      </c>
      <c r="C151" s="68" t="str">
        <f aca="false">IF($M151="","",IF(INDEX(Log!$B:$B,$M151)="","",INDEX(Log!$B:$B,$M151)))</f>
        <v/>
      </c>
      <c r="D151" s="69" t="str">
        <f aca="false">IF($M151="","",IF(INDEX(Log!$C:$C,$M151)="","",INDEX(Log!$C:$C,$M151)))</f>
        <v/>
      </c>
      <c r="E151" s="68" t="str">
        <f aca="false">IF($M151="","",IF(INDEX(Log!$K:$K,$M151)="","",INDEX(Log!$K:$K,$M151)))</f>
        <v/>
      </c>
      <c r="F151" s="68" t="str">
        <f aca="false">IF($M151="","",IF(INDEX(Log!$AD:$AD,$M151)="","",INDEX(Log!$AD:$AD,$M151)))</f>
        <v/>
      </c>
      <c r="G151" s="68" t="str">
        <f aca="false">IF($M151="","",IF(INDEX(Log!$AE:$AE,$M151)="","",INDEX(Log!$AE:$AE,$M151)))</f>
        <v/>
      </c>
      <c r="H151" s="68" t="str">
        <f aca="false">IF($M151="","",IF(INDEX(Log!$AF:$AF,$M151)="","",INDEX(Log!$AF:$AF,$M151)))</f>
        <v/>
      </c>
      <c r="I151" s="69" t="str">
        <f aca="false">IF($M151="","",IF(INDEX(Log!$AG:$AG,$M151)="","",INDEX(Log!$AG:$AG,$M151)))</f>
        <v/>
      </c>
      <c r="J151" s="68" t="str">
        <f aca="false">IF($M151="","",IF(INDEX(Log!$AH:$AH,$M151)="","",INDEX(Log!$AH:$AH,$M151)))</f>
        <v/>
      </c>
      <c r="K151" s="67" t="str">
        <f aca="false">IF($M151="","",IF(INDEX(Log!$AI:$AI,$M151)="","",INDEX(Log!$AI:$AI,$M151)))</f>
        <v/>
      </c>
      <c r="L151" s="68" t="str">
        <f aca="false">IF($M151="","",IF(INDEX(Log!$AJ:$AJ,$M151)="","",INDEX(Log!$AJ:$AJ,$M151)))</f>
        <v/>
      </c>
      <c r="M151" s="68" t="str">
        <f aca="false">IFERROR(SMALL(Log!$AM$6:$AM$305,146),"")</f>
        <v/>
      </c>
    </row>
    <row r="152" customFormat="false" ht="30" hidden="false" customHeight="true" outlineLevel="0" collapsed="false">
      <c r="A152" s="64" t="str">
        <f aca="false">IF($M152="","",147)</f>
        <v/>
      </c>
      <c r="B152" s="65" t="str">
        <f aca="false">IF($M152="","",IF(INDEX(Log!$A:$A,$M152)="","",INDEX(Log!$A:$A,$M152)))</f>
        <v/>
      </c>
      <c r="C152" s="65" t="str">
        <f aca="false">IF($M152="","",IF(INDEX(Log!$B:$B,$M152)="","",INDEX(Log!$B:$B,$M152)))</f>
        <v/>
      </c>
      <c r="D152" s="66" t="str">
        <f aca="false">IF($M152="","",IF(INDEX(Log!$C:$C,$M152)="","",INDEX(Log!$C:$C,$M152)))</f>
        <v/>
      </c>
      <c r="E152" s="65" t="str">
        <f aca="false">IF($M152="","",IF(INDEX(Log!$K:$K,$M152)="","",INDEX(Log!$K:$K,$M152)))</f>
        <v/>
      </c>
      <c r="F152" s="65" t="str">
        <f aca="false">IF($M152="","",IF(INDEX(Log!$AD:$AD,$M152)="","",INDEX(Log!$AD:$AD,$M152)))</f>
        <v/>
      </c>
      <c r="G152" s="65" t="str">
        <f aca="false">IF($M152="","",IF(INDEX(Log!$AE:$AE,$M152)="","",INDEX(Log!$AE:$AE,$M152)))</f>
        <v/>
      </c>
      <c r="H152" s="65" t="str">
        <f aca="false">IF($M152="","",IF(INDEX(Log!$AF:$AF,$M152)="","",INDEX(Log!$AF:$AF,$M152)))</f>
        <v/>
      </c>
      <c r="I152" s="66" t="str">
        <f aca="false">IF($M152="","",IF(INDEX(Log!$AG:$AG,$M152)="","",INDEX(Log!$AG:$AG,$M152)))</f>
        <v/>
      </c>
      <c r="J152" s="65" t="str">
        <f aca="false">IF($M152="","",IF(INDEX(Log!$AH:$AH,$M152)="","",INDEX(Log!$AH:$AH,$M152)))</f>
        <v/>
      </c>
      <c r="K152" s="64" t="str">
        <f aca="false">IF($M152="","",IF(INDEX(Log!$AI:$AI,$M152)="","",INDEX(Log!$AI:$AI,$M152)))</f>
        <v/>
      </c>
      <c r="L152" s="65" t="str">
        <f aca="false">IF($M152="","",IF(INDEX(Log!$AJ:$AJ,$M152)="","",INDEX(Log!$AJ:$AJ,$M152)))</f>
        <v/>
      </c>
      <c r="M152" s="65" t="str">
        <f aca="false">IFERROR(SMALL(Log!$AM$6:$AM$305,147),"")</f>
        <v/>
      </c>
    </row>
    <row r="153" customFormat="false" ht="30" hidden="false" customHeight="true" outlineLevel="0" collapsed="false">
      <c r="A153" s="67" t="str">
        <f aca="false">IF($M153="","",148)</f>
        <v/>
      </c>
      <c r="B153" s="68" t="str">
        <f aca="false">IF($M153="","",IF(INDEX(Log!$A:$A,$M153)="","",INDEX(Log!$A:$A,$M153)))</f>
        <v/>
      </c>
      <c r="C153" s="68" t="str">
        <f aca="false">IF($M153="","",IF(INDEX(Log!$B:$B,$M153)="","",INDEX(Log!$B:$B,$M153)))</f>
        <v/>
      </c>
      <c r="D153" s="69" t="str">
        <f aca="false">IF($M153="","",IF(INDEX(Log!$C:$C,$M153)="","",INDEX(Log!$C:$C,$M153)))</f>
        <v/>
      </c>
      <c r="E153" s="68" t="str">
        <f aca="false">IF($M153="","",IF(INDEX(Log!$K:$K,$M153)="","",INDEX(Log!$K:$K,$M153)))</f>
        <v/>
      </c>
      <c r="F153" s="68" t="str">
        <f aca="false">IF($M153="","",IF(INDEX(Log!$AD:$AD,$M153)="","",INDEX(Log!$AD:$AD,$M153)))</f>
        <v/>
      </c>
      <c r="G153" s="68" t="str">
        <f aca="false">IF($M153="","",IF(INDEX(Log!$AE:$AE,$M153)="","",INDEX(Log!$AE:$AE,$M153)))</f>
        <v/>
      </c>
      <c r="H153" s="68" t="str">
        <f aca="false">IF($M153="","",IF(INDEX(Log!$AF:$AF,$M153)="","",INDEX(Log!$AF:$AF,$M153)))</f>
        <v/>
      </c>
      <c r="I153" s="69" t="str">
        <f aca="false">IF($M153="","",IF(INDEX(Log!$AG:$AG,$M153)="","",INDEX(Log!$AG:$AG,$M153)))</f>
        <v/>
      </c>
      <c r="J153" s="68" t="str">
        <f aca="false">IF($M153="","",IF(INDEX(Log!$AH:$AH,$M153)="","",INDEX(Log!$AH:$AH,$M153)))</f>
        <v/>
      </c>
      <c r="K153" s="67" t="str">
        <f aca="false">IF($M153="","",IF(INDEX(Log!$AI:$AI,$M153)="","",INDEX(Log!$AI:$AI,$M153)))</f>
        <v/>
      </c>
      <c r="L153" s="68" t="str">
        <f aca="false">IF($M153="","",IF(INDEX(Log!$AJ:$AJ,$M153)="","",INDEX(Log!$AJ:$AJ,$M153)))</f>
        <v/>
      </c>
      <c r="M153" s="68" t="str">
        <f aca="false">IFERROR(SMALL(Log!$AM$6:$AM$305,148),"")</f>
        <v/>
      </c>
    </row>
    <row r="154" customFormat="false" ht="30" hidden="false" customHeight="true" outlineLevel="0" collapsed="false">
      <c r="A154" s="64" t="str">
        <f aca="false">IF($M154="","",149)</f>
        <v/>
      </c>
      <c r="B154" s="65" t="str">
        <f aca="false">IF($M154="","",IF(INDEX(Log!$A:$A,$M154)="","",INDEX(Log!$A:$A,$M154)))</f>
        <v/>
      </c>
      <c r="C154" s="65" t="str">
        <f aca="false">IF($M154="","",IF(INDEX(Log!$B:$B,$M154)="","",INDEX(Log!$B:$B,$M154)))</f>
        <v/>
      </c>
      <c r="D154" s="66" t="str">
        <f aca="false">IF($M154="","",IF(INDEX(Log!$C:$C,$M154)="","",INDEX(Log!$C:$C,$M154)))</f>
        <v/>
      </c>
      <c r="E154" s="65" t="str">
        <f aca="false">IF($M154="","",IF(INDEX(Log!$K:$K,$M154)="","",INDEX(Log!$K:$K,$M154)))</f>
        <v/>
      </c>
      <c r="F154" s="65" t="str">
        <f aca="false">IF($M154="","",IF(INDEX(Log!$AD:$AD,$M154)="","",INDEX(Log!$AD:$AD,$M154)))</f>
        <v/>
      </c>
      <c r="G154" s="65" t="str">
        <f aca="false">IF($M154="","",IF(INDEX(Log!$AE:$AE,$M154)="","",INDEX(Log!$AE:$AE,$M154)))</f>
        <v/>
      </c>
      <c r="H154" s="65" t="str">
        <f aca="false">IF($M154="","",IF(INDEX(Log!$AF:$AF,$M154)="","",INDEX(Log!$AF:$AF,$M154)))</f>
        <v/>
      </c>
      <c r="I154" s="66" t="str">
        <f aca="false">IF($M154="","",IF(INDEX(Log!$AG:$AG,$M154)="","",INDEX(Log!$AG:$AG,$M154)))</f>
        <v/>
      </c>
      <c r="J154" s="65" t="str">
        <f aca="false">IF($M154="","",IF(INDEX(Log!$AH:$AH,$M154)="","",INDEX(Log!$AH:$AH,$M154)))</f>
        <v/>
      </c>
      <c r="K154" s="64" t="str">
        <f aca="false">IF($M154="","",IF(INDEX(Log!$AI:$AI,$M154)="","",INDEX(Log!$AI:$AI,$M154)))</f>
        <v/>
      </c>
      <c r="L154" s="65" t="str">
        <f aca="false">IF($M154="","",IF(INDEX(Log!$AJ:$AJ,$M154)="","",INDEX(Log!$AJ:$AJ,$M154)))</f>
        <v/>
      </c>
      <c r="M154" s="65" t="str">
        <f aca="false">IFERROR(SMALL(Log!$AM$6:$AM$305,149),"")</f>
        <v/>
      </c>
    </row>
    <row r="155" customFormat="false" ht="30" hidden="false" customHeight="true" outlineLevel="0" collapsed="false">
      <c r="A155" s="67" t="str">
        <f aca="false">IF($M155="","",150)</f>
        <v/>
      </c>
      <c r="B155" s="68" t="str">
        <f aca="false">IF($M155="","",IF(INDEX(Log!$A:$A,$M155)="","",INDEX(Log!$A:$A,$M155)))</f>
        <v/>
      </c>
      <c r="C155" s="68" t="str">
        <f aca="false">IF($M155="","",IF(INDEX(Log!$B:$B,$M155)="","",INDEX(Log!$B:$B,$M155)))</f>
        <v/>
      </c>
      <c r="D155" s="69" t="str">
        <f aca="false">IF($M155="","",IF(INDEX(Log!$C:$C,$M155)="","",INDEX(Log!$C:$C,$M155)))</f>
        <v/>
      </c>
      <c r="E155" s="68" t="str">
        <f aca="false">IF($M155="","",IF(INDEX(Log!$K:$K,$M155)="","",INDEX(Log!$K:$K,$M155)))</f>
        <v/>
      </c>
      <c r="F155" s="68" t="str">
        <f aca="false">IF($M155="","",IF(INDEX(Log!$AD:$AD,$M155)="","",INDEX(Log!$AD:$AD,$M155)))</f>
        <v/>
      </c>
      <c r="G155" s="68" t="str">
        <f aca="false">IF($M155="","",IF(INDEX(Log!$AE:$AE,$M155)="","",INDEX(Log!$AE:$AE,$M155)))</f>
        <v/>
      </c>
      <c r="H155" s="68" t="str">
        <f aca="false">IF($M155="","",IF(INDEX(Log!$AF:$AF,$M155)="","",INDEX(Log!$AF:$AF,$M155)))</f>
        <v/>
      </c>
      <c r="I155" s="69" t="str">
        <f aca="false">IF($M155="","",IF(INDEX(Log!$AG:$AG,$M155)="","",INDEX(Log!$AG:$AG,$M155)))</f>
        <v/>
      </c>
      <c r="J155" s="68" t="str">
        <f aca="false">IF($M155="","",IF(INDEX(Log!$AH:$AH,$M155)="","",INDEX(Log!$AH:$AH,$M155)))</f>
        <v/>
      </c>
      <c r="K155" s="67" t="str">
        <f aca="false">IF($M155="","",IF(INDEX(Log!$AI:$AI,$M155)="","",INDEX(Log!$AI:$AI,$M155)))</f>
        <v/>
      </c>
      <c r="L155" s="68" t="str">
        <f aca="false">IF($M155="","",IF(INDEX(Log!$AJ:$AJ,$M155)="","",INDEX(Log!$AJ:$AJ,$M155)))</f>
        <v/>
      </c>
      <c r="M155" s="68" t="str">
        <f aca="false">IFERROR(SMALL(Log!$AM$6:$AM$305,150),"")</f>
        <v/>
      </c>
    </row>
  </sheetData>
  <mergeCells count="4">
    <mergeCell ref="A1:C1"/>
    <mergeCell ref="D1:L1"/>
    <mergeCell ref="A2:L2"/>
    <mergeCell ref="A3:L3"/>
  </mergeCells>
  <conditionalFormatting sqref="K6:K155">
    <cfRule type="expression" priority="2" aboveAverage="0" equalAverage="0" bottom="0" percent="0" rank="0" text="" dxfId="8">
      <formula>K6="OVERDUE"</formula>
    </cfRule>
    <cfRule type="expression" priority="3" aboveAverage="0" equalAverage="0" bottom="0" percent="0" rank="0" text="" dxfId="9">
      <formula>K6="Due soon"</formula>
    </cfRule>
  </conditionalFormatting>
  <conditionalFormatting sqref="I6:I155">
    <cfRule type="expression" priority="4" aboveAverage="0" equalAverage="0" bottom="0" percent="0" rank="0" text="" dxfId="8">
      <formula>K6="OVERDUE"</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&amp;L&amp;"Aptos,Regular"&amp;8[COMPANY NAME] – Incident, Accident and Near Miss Register – ARB-INC-01 – Version 2.0&amp;R&amp;"Aptos,Regular"&amp;8Page &amp;P of &amp;N  ·  Not controlled when printed</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24"/>
    <col collapsed="false" customWidth="true" hidden="false" outlineLevel="0" max="3" min="3" style="0" width="40"/>
    <col collapsed="false" customWidth="true" hidden="false" outlineLevel="0" max="4" min="4" style="0" width="24"/>
    <col collapsed="false" customWidth="true" hidden="false" outlineLevel="0" max="6" min="5" style="0" width="40"/>
    <col collapsed="false" customWidth="true" hidden="false" outlineLevel="0" max="7" min="7" style="0" width="24"/>
    <col collapsed="false" customWidth="true" hidden="false" outlineLevel="0" max="8" min="8" style="0" width="40"/>
    <col collapsed="false" customWidth="true" hidden="false" outlineLevel="0" max="9" min="9" style="0" width="24"/>
    <col collapsed="false" customWidth="true" hidden="false" outlineLevel="0" max="10" min="10" style="0" width="40"/>
    <col collapsed="false" customWidth="true" hidden="false" outlineLevel="0" max="13" min="11" style="0" width="24"/>
    <col collapsed="false" customWidth="true" hidden="false" outlineLevel="0" max="15" min="15" style="0" width="60"/>
  </cols>
  <sheetData>
    <row r="1" customFormat="false" ht="30" hidden="false" customHeight="true" outlineLevel="0" collapsed="false">
      <c r="A1" s="70" t="s">
        <v>142</v>
      </c>
      <c r="B1" s="70" t="s">
        <v>153</v>
      </c>
      <c r="C1" s="70" t="s">
        <v>150</v>
      </c>
      <c r="D1" s="70" t="s">
        <v>154</v>
      </c>
      <c r="E1" s="70" t="s">
        <v>155</v>
      </c>
      <c r="F1" s="70" t="s">
        <v>156</v>
      </c>
      <c r="G1" s="70" t="s">
        <v>259</v>
      </c>
      <c r="H1" s="70" t="s">
        <v>159</v>
      </c>
      <c r="I1" s="70" t="s">
        <v>165</v>
      </c>
      <c r="J1" s="70" t="s">
        <v>168</v>
      </c>
      <c r="K1" s="70" t="s">
        <v>174</v>
      </c>
      <c r="L1" s="70" t="s">
        <v>260</v>
      </c>
      <c r="M1" s="70" t="s">
        <v>261</v>
      </c>
      <c r="O1" s="71" t="s">
        <v>262</v>
      </c>
    </row>
    <row r="2" customFormat="false" ht="15" hidden="false" customHeight="false" outlineLevel="0" collapsed="false">
      <c r="A2" s="72" t="s">
        <v>225</v>
      </c>
      <c r="B2" s="72" t="s">
        <v>263</v>
      </c>
      <c r="C2" s="72" t="s">
        <v>264</v>
      </c>
      <c r="D2" s="72" t="s">
        <v>265</v>
      </c>
      <c r="E2" s="72" t="s">
        <v>266</v>
      </c>
      <c r="F2" s="72" t="s">
        <v>267</v>
      </c>
      <c r="G2" s="72" t="s">
        <v>268</v>
      </c>
      <c r="H2" s="72" t="s">
        <v>269</v>
      </c>
      <c r="I2" s="72" t="s">
        <v>83</v>
      </c>
      <c r="J2" s="72" t="s">
        <v>270</v>
      </c>
      <c r="K2" s="72" t="s">
        <v>271</v>
      </c>
      <c r="L2" s="72" t="s">
        <v>272</v>
      </c>
      <c r="M2" s="72" t="s">
        <v>268</v>
      </c>
      <c r="O2" s="71"/>
    </row>
    <row r="3" customFormat="false" ht="15" hidden="false" customHeight="false" outlineLevel="0" collapsed="false">
      <c r="A3" s="72" t="s">
        <v>226</v>
      </c>
      <c r="B3" s="72" t="s">
        <v>273</v>
      </c>
      <c r="C3" s="72" t="s">
        <v>274</v>
      </c>
      <c r="D3" s="72" t="s">
        <v>275</v>
      </c>
      <c r="E3" s="72" t="s">
        <v>276</v>
      </c>
      <c r="F3" s="72" t="s">
        <v>277</v>
      </c>
      <c r="G3" s="72" t="s">
        <v>278</v>
      </c>
      <c r="H3" s="72" t="s">
        <v>279</v>
      </c>
      <c r="I3" s="72" t="s">
        <v>85</v>
      </c>
      <c r="J3" s="72" t="s">
        <v>280</v>
      </c>
      <c r="K3" s="72" t="s">
        <v>281</v>
      </c>
      <c r="L3" s="72" t="s">
        <v>282</v>
      </c>
      <c r="M3" s="72" t="s">
        <v>283</v>
      </c>
      <c r="O3" s="71"/>
    </row>
    <row r="4" customFormat="false" ht="15" hidden="false" customHeight="false" outlineLevel="0" collapsed="false">
      <c r="A4" s="72" t="s">
        <v>227</v>
      </c>
      <c r="B4" s="72" t="s">
        <v>284</v>
      </c>
      <c r="C4" s="72" t="s">
        <v>285</v>
      </c>
      <c r="D4" s="72" t="s">
        <v>286</v>
      </c>
      <c r="E4" s="72" t="s">
        <v>287</v>
      </c>
      <c r="F4" s="72" t="s">
        <v>288</v>
      </c>
      <c r="G4" s="72" t="s">
        <v>289</v>
      </c>
      <c r="H4" s="72" t="s">
        <v>62</v>
      </c>
      <c r="I4" s="72" t="s">
        <v>87</v>
      </c>
      <c r="J4" s="72" t="s">
        <v>290</v>
      </c>
      <c r="K4" s="72" t="s">
        <v>291</v>
      </c>
      <c r="L4" s="72" t="s">
        <v>292</v>
      </c>
      <c r="O4" s="71"/>
    </row>
    <row r="5" customFormat="false" ht="15" hidden="false" customHeight="false" outlineLevel="0" collapsed="false">
      <c r="A5" s="72" t="s">
        <v>228</v>
      </c>
      <c r="B5" s="72" t="s">
        <v>293</v>
      </c>
      <c r="C5" s="72" t="s">
        <v>294</v>
      </c>
      <c r="D5" s="72" t="s">
        <v>295</v>
      </c>
      <c r="E5" s="72" t="s">
        <v>296</v>
      </c>
      <c r="F5" s="72" t="s">
        <v>297</v>
      </c>
      <c r="H5" s="72" t="s">
        <v>298</v>
      </c>
      <c r="I5" s="72" t="s">
        <v>89</v>
      </c>
      <c r="J5" s="72" t="s">
        <v>299</v>
      </c>
      <c r="K5" s="72" t="s">
        <v>300</v>
      </c>
      <c r="O5" s="71"/>
    </row>
    <row r="6" customFormat="false" ht="15" hidden="false" customHeight="false" outlineLevel="0" collapsed="false">
      <c r="A6" s="72" t="s">
        <v>229</v>
      </c>
      <c r="B6" s="72" t="s">
        <v>66</v>
      </c>
      <c r="C6" s="72" t="s">
        <v>301</v>
      </c>
      <c r="D6" s="72" t="s">
        <v>302</v>
      </c>
      <c r="E6" s="72" t="s">
        <v>303</v>
      </c>
      <c r="F6" s="72" t="s">
        <v>304</v>
      </c>
      <c r="H6" s="72" t="s">
        <v>305</v>
      </c>
      <c r="J6" s="72" t="s">
        <v>306</v>
      </c>
      <c r="K6" s="72" t="s">
        <v>307</v>
      </c>
      <c r="O6" s="71"/>
    </row>
    <row r="7" customFormat="false" ht="15" hidden="false" customHeight="false" outlineLevel="0" collapsed="false">
      <c r="A7" s="72" t="s">
        <v>230</v>
      </c>
      <c r="B7" s="72" t="s">
        <v>308</v>
      </c>
      <c r="C7" s="72" t="s">
        <v>309</v>
      </c>
      <c r="D7" s="72" t="s">
        <v>310</v>
      </c>
      <c r="E7" s="72" t="s">
        <v>311</v>
      </c>
      <c r="F7" s="72" t="s">
        <v>312</v>
      </c>
      <c r="H7" s="72" t="s">
        <v>313</v>
      </c>
      <c r="J7" s="72" t="s">
        <v>314</v>
      </c>
      <c r="K7" s="72" t="s">
        <v>315</v>
      </c>
    </row>
    <row r="8" customFormat="false" ht="15" hidden="false" customHeight="false" outlineLevel="0" collapsed="false">
      <c r="A8" s="72" t="s">
        <v>68</v>
      </c>
      <c r="B8" s="72" t="s">
        <v>316</v>
      </c>
      <c r="C8" s="72" t="s">
        <v>317</v>
      </c>
      <c r="D8" s="72" t="s">
        <v>318</v>
      </c>
      <c r="E8" s="72" t="s">
        <v>319</v>
      </c>
      <c r="F8" s="72" t="s">
        <v>320</v>
      </c>
      <c r="H8" s="72" t="s">
        <v>68</v>
      </c>
      <c r="J8" s="72" t="s">
        <v>321</v>
      </c>
    </row>
    <row r="9" customFormat="false" ht="15" hidden="false" customHeight="false" outlineLevel="0" collapsed="false">
      <c r="A9" s="72" t="s">
        <v>231</v>
      </c>
      <c r="B9" s="72" t="s">
        <v>322</v>
      </c>
      <c r="C9" s="72" t="s">
        <v>323</v>
      </c>
      <c r="D9" s="72" t="s">
        <v>324</v>
      </c>
      <c r="E9" s="72" t="s">
        <v>325</v>
      </c>
      <c r="H9" s="72" t="s">
        <v>70</v>
      </c>
      <c r="J9" s="72" t="s">
        <v>326</v>
      </c>
    </row>
    <row r="10" customFormat="false" ht="15" hidden="false" customHeight="false" outlineLevel="0" collapsed="false">
      <c r="C10" s="72" t="s">
        <v>327</v>
      </c>
      <c r="D10" s="72" t="s">
        <v>328</v>
      </c>
      <c r="E10" s="72" t="s">
        <v>329</v>
      </c>
      <c r="J10" s="72" t="s">
        <v>330</v>
      </c>
    </row>
    <row r="11" customFormat="false" ht="15" hidden="false" customHeight="false" outlineLevel="0" collapsed="false">
      <c r="C11" s="72" t="s">
        <v>331</v>
      </c>
      <c r="D11" s="72" t="s">
        <v>332</v>
      </c>
      <c r="E11" s="72" t="s">
        <v>333</v>
      </c>
      <c r="J11" s="72" t="s">
        <v>334</v>
      </c>
    </row>
    <row r="12" customFormat="false" ht="15" hidden="false" customHeight="false" outlineLevel="0" collapsed="false">
      <c r="C12" s="72" t="s">
        <v>335</v>
      </c>
      <c r="D12" s="72" t="s">
        <v>336</v>
      </c>
      <c r="E12" s="72" t="s">
        <v>337</v>
      </c>
      <c r="J12" s="72" t="s">
        <v>338</v>
      </c>
    </row>
    <row r="13" customFormat="false" ht="15" hidden="false" customHeight="false" outlineLevel="0" collapsed="false">
      <c r="C13" s="72" t="s">
        <v>339</v>
      </c>
      <c r="D13" s="72" t="s">
        <v>340</v>
      </c>
      <c r="E13" s="72" t="s">
        <v>341</v>
      </c>
      <c r="J13" s="72" t="s">
        <v>342</v>
      </c>
    </row>
    <row r="14" customFormat="false" ht="15" hidden="false" customHeight="false" outlineLevel="0" collapsed="false">
      <c r="C14" s="72" t="s">
        <v>343</v>
      </c>
      <c r="D14" s="72" t="s">
        <v>344</v>
      </c>
      <c r="E14" s="72" t="s">
        <v>345</v>
      </c>
      <c r="J14" s="72" t="s">
        <v>346</v>
      </c>
    </row>
    <row r="15" customFormat="false" ht="15" hidden="false" customHeight="false" outlineLevel="0" collapsed="false">
      <c r="C15" s="72" t="s">
        <v>347</v>
      </c>
      <c r="D15" s="72" t="s">
        <v>348</v>
      </c>
      <c r="E15" s="72" t="s">
        <v>349</v>
      </c>
      <c r="J15" s="72" t="s">
        <v>350</v>
      </c>
    </row>
    <row r="16" customFormat="false" ht="15" hidden="false" customHeight="false" outlineLevel="0" collapsed="false">
      <c r="C16" s="72" t="s">
        <v>351</v>
      </c>
      <c r="D16" s="72" t="s">
        <v>352</v>
      </c>
      <c r="E16" s="72" t="s">
        <v>353</v>
      </c>
      <c r="J16" s="72" t="s">
        <v>354</v>
      </c>
    </row>
    <row r="17" customFormat="false" ht="15" hidden="false" customHeight="false" outlineLevel="0" collapsed="false">
      <c r="C17" s="72" t="s">
        <v>355</v>
      </c>
      <c r="D17" s="72" t="s">
        <v>356</v>
      </c>
      <c r="E17" s="72" t="s">
        <v>357</v>
      </c>
      <c r="J17" s="72" t="s">
        <v>358</v>
      </c>
    </row>
    <row r="18" customFormat="false" ht="15" hidden="false" customHeight="false" outlineLevel="0" collapsed="false">
      <c r="C18" s="72" t="s">
        <v>359</v>
      </c>
      <c r="D18" s="72" t="s">
        <v>360</v>
      </c>
      <c r="E18" s="72" t="s">
        <v>361</v>
      </c>
    </row>
    <row r="19" customFormat="false" ht="15" hidden="false" customHeight="false" outlineLevel="0" collapsed="false">
      <c r="C19" s="72" t="s">
        <v>362</v>
      </c>
      <c r="D19" s="72" t="s">
        <v>363</v>
      </c>
      <c r="E19" s="72" t="s">
        <v>364</v>
      </c>
    </row>
    <row r="20" customFormat="false" ht="15" hidden="false" customHeight="false" outlineLevel="0" collapsed="false">
      <c r="C20" s="72" t="s">
        <v>365</v>
      </c>
      <c r="D20" s="72" t="s">
        <v>366</v>
      </c>
      <c r="E20" s="72" t="s">
        <v>367</v>
      </c>
    </row>
    <row r="21" customFormat="false" ht="15" hidden="false" customHeight="false" outlineLevel="0" collapsed="false">
      <c r="C21" s="72" t="s">
        <v>368</v>
      </c>
      <c r="D21" s="72" t="s">
        <v>369</v>
      </c>
      <c r="E21" s="72" t="s">
        <v>370</v>
      </c>
    </row>
    <row r="22" customFormat="false" ht="15" hidden="false" customHeight="false" outlineLevel="0" collapsed="false">
      <c r="C22" s="72" t="s">
        <v>371</v>
      </c>
      <c r="D22" s="72" t="s">
        <v>320</v>
      </c>
      <c r="E22" s="72" t="s">
        <v>366</v>
      </c>
    </row>
    <row r="23" customFormat="false" ht="15" hidden="false" customHeight="false" outlineLevel="0" collapsed="false">
      <c r="C23" s="72" t="s">
        <v>372</v>
      </c>
      <c r="E23" s="72" t="s">
        <v>373</v>
      </c>
    </row>
    <row r="24" customFormat="false" ht="15" hidden="false" customHeight="false" outlineLevel="0" collapsed="false">
      <c r="C24" s="72" t="s">
        <v>373</v>
      </c>
      <c r="E24" s="72" t="s">
        <v>320</v>
      </c>
    </row>
  </sheetData>
  <mergeCells count="1">
    <mergeCell ref="O1:O6"/>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&amp;L&amp;"Aptos,Regular"&amp;8[COMPANY NAME] – Incident, Accident and Near Miss Register – ARB-INC-01 – Version 2.0&amp;R&amp;"Aptos,Regular"&amp;8Page &amp;P of &amp;N  ·  Not controlled when printed</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2026-09-28T09:24:07Z</dcterms:created>
  <dc:creator>openpyxl</dc:creator>
  <dc:description/>
  <dc:language>en-US</dc:language>
  <cp:lastModifiedBy/>
  <dcterms:modified xsi:type="dcterms:W3CDTF">2026-09-28T10:24:11Z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